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slaval-my.sharepoint.com/personal/jgodin_csslaval_gouv_qc_ca/Documents/Comptabilité CCC/2024-2025/États des résultats/Vérification finale/"/>
    </mc:Choice>
  </mc:AlternateContent>
  <xr:revisionPtr revIDLastSave="899" documentId="8_{AA6855FF-EE9E-B248-9EA2-0CE4D2B8FF3C}" xr6:coauthVersionLast="47" xr6:coauthVersionMax="47" xr10:uidLastSave="{CDFB0610-8ABC-47DC-84CA-1F9A29EE93D2}"/>
  <bookViews>
    <workbookView xWindow="-110" yWindow="-110" windowWidth="19420" windowHeight="10300" firstSheet="8" activeTab="11" xr2:uid="{00000000-000D-0000-FFFF-FFFF00000000}"/>
  </bookViews>
  <sheets>
    <sheet name="Sheet1" sheetId="1" r:id="rId1"/>
    <sheet name="Index - directeurs" sheetId="2" r:id="rId2"/>
    <sheet name="Index - membres" sheetId="3" r:id="rId3"/>
    <sheet name="Notes" sheetId="4" r:id="rId4"/>
    <sheet name="Produits et charges" sheetId="5" r:id="rId5"/>
    <sheet name="Frais d'administration" sheetId="6" r:id="rId6"/>
    <sheet name="Cours et expositions" sheetId="7" r:id="rId7"/>
    <sheet name="Concours CKC" sheetId="8" r:id="rId8"/>
    <sheet name="Concours AAC" sheetId="9" r:id="rId9"/>
    <sheet name="Provincial AAC 2024" sheetId="16" r:id="rId10"/>
    <sheet name="Sprinter CKC" sheetId="15" r:id="rId11"/>
    <sheet name="Immobilisation" sheetId="14" r:id="rId12"/>
    <sheet name="Inventaire" sheetId="12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8" i="7" l="1"/>
  <c r="G17" i="15"/>
  <c r="G19" i="15" s="1"/>
  <c r="G10" i="15"/>
  <c r="G28" i="16"/>
  <c r="G13" i="16"/>
  <c r="G30" i="16" s="1"/>
  <c r="C60" i="9"/>
  <c r="E60" i="9"/>
  <c r="E19" i="9"/>
  <c r="E21" i="9" s="1"/>
  <c r="C58" i="9"/>
  <c r="H39" i="9"/>
  <c r="C41" i="9"/>
  <c r="E41" i="9"/>
  <c r="G41" i="9"/>
  <c r="E58" i="9"/>
  <c r="H13" i="9"/>
  <c r="G13" i="9"/>
  <c r="E13" i="9"/>
  <c r="C13" i="9"/>
  <c r="G39" i="9"/>
  <c r="E39" i="9"/>
  <c r="C39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4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24" i="9"/>
  <c r="H17" i="9"/>
  <c r="H18" i="9"/>
  <c r="H16" i="9"/>
  <c r="H9" i="9"/>
  <c r="H10" i="9"/>
  <c r="H11" i="9"/>
  <c r="H8" i="9"/>
  <c r="H98" i="8"/>
  <c r="G98" i="8"/>
  <c r="E98" i="8"/>
  <c r="C98" i="8"/>
  <c r="H85" i="8"/>
  <c r="H83" i="8"/>
  <c r="H82" i="8"/>
  <c r="H80" i="8"/>
  <c r="H79" i="8"/>
  <c r="H77" i="8"/>
  <c r="H74" i="8"/>
  <c r="H71" i="8"/>
  <c r="H66" i="8"/>
  <c r="H64" i="8"/>
  <c r="H63" i="8"/>
  <c r="H58" i="8"/>
  <c r="H47" i="8"/>
  <c r="H44" i="8"/>
  <c r="H37" i="8"/>
  <c r="H38" i="8"/>
  <c r="H39" i="8"/>
  <c r="H31" i="8"/>
  <c r="H32" i="8"/>
  <c r="H33" i="8"/>
  <c r="H28" i="8"/>
  <c r="H20" i="8"/>
  <c r="H21" i="8"/>
  <c r="H22" i="8"/>
  <c r="E95" i="8"/>
  <c r="C95" i="8"/>
  <c r="G94" i="8"/>
  <c r="E94" i="8"/>
  <c r="C94" i="8"/>
  <c r="D93" i="8"/>
  <c r="G91" i="8"/>
  <c r="E91" i="8"/>
  <c r="C91" i="8"/>
  <c r="G83" i="8"/>
  <c r="E83" i="8"/>
  <c r="C83" i="8"/>
  <c r="G80" i="8"/>
  <c r="E80" i="8"/>
  <c r="C80" i="8"/>
  <c r="G77" i="8"/>
  <c r="E77" i="8"/>
  <c r="C77" i="8"/>
  <c r="G71" i="8"/>
  <c r="E71" i="8"/>
  <c r="C71" i="8"/>
  <c r="G63" i="8"/>
  <c r="E63" i="8"/>
  <c r="C63" i="8"/>
  <c r="G61" i="8"/>
  <c r="G95" i="8" s="1"/>
  <c r="E61" i="8"/>
  <c r="C61" i="8"/>
  <c r="G58" i="8"/>
  <c r="E58" i="8"/>
  <c r="C58" i="8"/>
  <c r="G44" i="8"/>
  <c r="E44" i="8"/>
  <c r="C44" i="8"/>
  <c r="G32" i="8"/>
  <c r="E32" i="8"/>
  <c r="C32" i="8"/>
  <c r="C33" i="8" s="1"/>
  <c r="G23" i="8"/>
  <c r="G33" i="8" s="1"/>
  <c r="E23" i="8"/>
  <c r="E33" i="8" s="1"/>
  <c r="C23" i="8"/>
  <c r="H83" i="7"/>
  <c r="H75" i="7"/>
  <c r="E77" i="7"/>
  <c r="C77" i="7"/>
  <c r="E85" i="7"/>
  <c r="C85" i="7"/>
  <c r="G85" i="7"/>
  <c r="H74" i="7"/>
  <c r="H76" i="7"/>
  <c r="H84" i="7"/>
  <c r="H82" i="7"/>
  <c r="H65" i="7"/>
  <c r="H63" i="7"/>
  <c r="H61" i="7"/>
  <c r="H59" i="7"/>
  <c r="H51" i="7"/>
  <c r="H52" i="7"/>
  <c r="H53" i="7"/>
  <c r="H54" i="7"/>
  <c r="H55" i="7"/>
  <c r="H56" i="7"/>
  <c r="H57" i="7"/>
  <c r="H50" i="7"/>
  <c r="H47" i="7"/>
  <c r="H48" i="7"/>
  <c r="H42" i="7"/>
  <c r="G64" i="7"/>
  <c r="E64" i="7"/>
  <c r="C64" i="7"/>
  <c r="G62" i="7"/>
  <c r="E62" i="7"/>
  <c r="C62" i="7"/>
  <c r="G60" i="7"/>
  <c r="E60" i="7"/>
  <c r="C60" i="7"/>
  <c r="G58" i="7"/>
  <c r="E58" i="7"/>
  <c r="C58" i="7"/>
  <c r="G49" i="7"/>
  <c r="E49" i="7"/>
  <c r="C49" i="7"/>
  <c r="H15" i="7"/>
  <c r="H25" i="7"/>
  <c r="H27" i="7"/>
  <c r="H29" i="7"/>
  <c r="H33" i="7"/>
  <c r="H35" i="7"/>
  <c r="H36" i="7"/>
  <c r="G37" i="7"/>
  <c r="E37" i="7"/>
  <c r="C37" i="7"/>
  <c r="E31" i="7"/>
  <c r="H31" i="7" s="1"/>
  <c r="C31" i="7"/>
  <c r="G28" i="7"/>
  <c r="E28" i="7"/>
  <c r="C28" i="7"/>
  <c r="G26" i="7"/>
  <c r="E26" i="7"/>
  <c r="C26" i="7"/>
  <c r="G24" i="7"/>
  <c r="E24" i="7"/>
  <c r="C24" i="7"/>
  <c r="G14" i="7"/>
  <c r="E14" i="7"/>
  <c r="C14" i="7"/>
  <c r="H38" i="6"/>
  <c r="H39" i="6"/>
  <c r="G39" i="6"/>
  <c r="E39" i="6"/>
  <c r="C39" i="6"/>
  <c r="E38" i="6"/>
  <c r="G8" i="6"/>
  <c r="G39" i="5"/>
  <c r="E39" i="5"/>
  <c r="C39" i="5"/>
  <c r="H29" i="5"/>
  <c r="H27" i="5"/>
  <c r="H30" i="5"/>
  <c r="H31" i="5"/>
  <c r="H33" i="5"/>
  <c r="H34" i="5"/>
  <c r="H35" i="5"/>
  <c r="H32" i="5"/>
  <c r="G36" i="5"/>
  <c r="H36" i="5" s="1"/>
  <c r="E36" i="5"/>
  <c r="C36" i="5"/>
  <c r="G29" i="5"/>
  <c r="E29" i="5"/>
  <c r="C29" i="5"/>
  <c r="G26" i="5"/>
  <c r="G37" i="5" s="1"/>
  <c r="H37" i="5" s="1"/>
  <c r="E26" i="5"/>
  <c r="E37" i="5" s="1"/>
  <c r="C26" i="5"/>
  <c r="C37" i="5" s="1"/>
  <c r="H16" i="5"/>
  <c r="H17" i="5"/>
  <c r="H15" i="5"/>
  <c r="G18" i="5"/>
  <c r="G19" i="5" s="1"/>
  <c r="E18" i="5"/>
  <c r="C18" i="5"/>
  <c r="E12" i="5"/>
  <c r="C12" i="5"/>
  <c r="H8" i="5"/>
  <c r="H9" i="5"/>
  <c r="H10" i="5"/>
  <c r="H14" i="5"/>
  <c r="G12" i="12"/>
  <c r="G268" i="1"/>
  <c r="G299" i="1" s="1"/>
  <c r="G248" i="1"/>
  <c r="G233" i="1"/>
  <c r="G214" i="1"/>
  <c r="G211" i="1"/>
  <c r="G203" i="1"/>
  <c r="G200" i="1"/>
  <c r="G197" i="1"/>
  <c r="G191" i="1"/>
  <c r="G183" i="1"/>
  <c r="G181" i="1"/>
  <c r="G178" i="1"/>
  <c r="G164" i="1"/>
  <c r="G152" i="1"/>
  <c r="G150" i="1"/>
  <c r="G148" i="1"/>
  <c r="G146" i="1"/>
  <c r="G137" i="1"/>
  <c r="G126" i="1"/>
  <c r="G119" i="1"/>
  <c r="G116" i="1"/>
  <c r="G96" i="1"/>
  <c r="E102" i="1"/>
  <c r="G87" i="1"/>
  <c r="G78" i="1"/>
  <c r="G69" i="1"/>
  <c r="G50" i="1"/>
  <c r="G41" i="1"/>
  <c r="G39" i="1"/>
  <c r="G37" i="1"/>
  <c r="G27" i="1"/>
  <c r="G18" i="1"/>
  <c r="G19" i="1" s="1"/>
  <c r="C12" i="1"/>
  <c r="L40" i="14"/>
  <c r="M40" i="14"/>
  <c r="N40" i="14"/>
  <c r="O40" i="14"/>
  <c r="P40" i="14"/>
  <c r="Q40" i="14"/>
  <c r="R40" i="14"/>
  <c r="S40" i="14"/>
  <c r="T40" i="14"/>
  <c r="U40" i="14"/>
  <c r="V40" i="14"/>
  <c r="W40" i="14"/>
  <c r="X40" i="14"/>
  <c r="Y40" i="14"/>
  <c r="K40" i="14"/>
  <c r="Z37" i="14"/>
  <c r="C37" i="14"/>
  <c r="T37" i="14"/>
  <c r="S37" i="14"/>
  <c r="R37" i="14"/>
  <c r="Q37" i="14"/>
  <c r="P37" i="14"/>
  <c r="O37" i="14"/>
  <c r="H92" i="8"/>
  <c r="H87" i="8"/>
  <c r="H88" i="8"/>
  <c r="H89" i="8"/>
  <c r="H90" i="8"/>
  <c r="H75" i="8"/>
  <c r="H67" i="8"/>
  <c r="H8" i="8"/>
  <c r="H19" i="4"/>
  <c r="H21" i="4" s="1"/>
  <c r="D213" i="1"/>
  <c r="E214" i="1" s="1"/>
  <c r="C299" i="1"/>
  <c r="C197" i="1"/>
  <c r="C211" i="1"/>
  <c r="C106" i="1"/>
  <c r="C37" i="1"/>
  <c r="C44" i="1"/>
  <c r="C27" i="1"/>
  <c r="E12" i="1"/>
  <c r="E137" i="1"/>
  <c r="E146" i="1"/>
  <c r="C214" i="1"/>
  <c r="E203" i="1"/>
  <c r="C203" i="1"/>
  <c r="C183" i="1"/>
  <c r="Z36" i="14"/>
  <c r="C38" i="14"/>
  <c r="G58" i="9"/>
  <c r="H58" i="9" s="1"/>
  <c r="G19" i="9"/>
  <c r="C21" i="9"/>
  <c r="C62" i="9" s="1"/>
  <c r="H41" i="8"/>
  <c r="H42" i="8"/>
  <c r="H43" i="8"/>
  <c r="H45" i="8"/>
  <c r="H46" i="8"/>
  <c r="H48" i="8"/>
  <c r="H49" i="8"/>
  <c r="H50" i="8"/>
  <c r="H51" i="8"/>
  <c r="H52" i="8"/>
  <c r="H53" i="8"/>
  <c r="H54" i="8"/>
  <c r="H55" i="8"/>
  <c r="H56" i="8"/>
  <c r="H57" i="8"/>
  <c r="H59" i="8"/>
  <c r="H60" i="8"/>
  <c r="H62" i="8"/>
  <c r="H65" i="8"/>
  <c r="H68" i="8"/>
  <c r="H69" i="8"/>
  <c r="H70" i="8"/>
  <c r="H72" i="8"/>
  <c r="H73" i="8"/>
  <c r="H76" i="8"/>
  <c r="H78" i="8"/>
  <c r="H81" i="8"/>
  <c r="H84" i="8"/>
  <c r="H86" i="8"/>
  <c r="H40" i="8"/>
  <c r="H24" i="8"/>
  <c r="H25" i="8"/>
  <c r="H26" i="8"/>
  <c r="H27" i="8"/>
  <c r="H10" i="8"/>
  <c r="H11" i="8"/>
  <c r="H12" i="8"/>
  <c r="H13" i="8"/>
  <c r="H14" i="8"/>
  <c r="H15" i="8"/>
  <c r="H16" i="8"/>
  <c r="H17" i="8"/>
  <c r="H18" i="8"/>
  <c r="H19" i="8"/>
  <c r="H9" i="8"/>
  <c r="H81" i="7"/>
  <c r="H73" i="7"/>
  <c r="H46" i="7"/>
  <c r="H43" i="7"/>
  <c r="H44" i="7"/>
  <c r="H45" i="7"/>
  <c r="H10" i="7"/>
  <c r="H11" i="7"/>
  <c r="H12" i="7"/>
  <c r="H13" i="7"/>
  <c r="H16" i="7"/>
  <c r="H17" i="7"/>
  <c r="H18" i="7"/>
  <c r="H19" i="7"/>
  <c r="H20" i="7"/>
  <c r="H21" i="7"/>
  <c r="H22" i="7"/>
  <c r="H23" i="7"/>
  <c r="H30" i="7"/>
  <c r="H32" i="7"/>
  <c r="H34" i="7"/>
  <c r="H9" i="7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8" i="6"/>
  <c r="H25" i="5"/>
  <c r="H23" i="5"/>
  <c r="H24" i="5"/>
  <c r="E298" i="1"/>
  <c r="E299" i="1" s="1"/>
  <c r="E265" i="1"/>
  <c r="C265" i="1"/>
  <c r="E233" i="1"/>
  <c r="C233" i="1"/>
  <c r="E211" i="1"/>
  <c r="E200" i="1"/>
  <c r="C200" i="1"/>
  <c r="E197" i="1"/>
  <c r="E191" i="1"/>
  <c r="C191" i="1"/>
  <c r="E183" i="1"/>
  <c r="E181" i="1"/>
  <c r="C181" i="1"/>
  <c r="E178" i="1"/>
  <c r="C178" i="1"/>
  <c r="E164" i="1"/>
  <c r="C164" i="1"/>
  <c r="E152" i="1"/>
  <c r="C152" i="1"/>
  <c r="E150" i="1"/>
  <c r="C150" i="1"/>
  <c r="E148" i="1"/>
  <c r="C148" i="1"/>
  <c r="C146" i="1"/>
  <c r="C137" i="1"/>
  <c r="E126" i="1"/>
  <c r="C126" i="1"/>
  <c r="E119" i="1"/>
  <c r="C119" i="1"/>
  <c r="E116" i="1"/>
  <c r="C116" i="1"/>
  <c r="E87" i="1"/>
  <c r="C87" i="1"/>
  <c r="E78" i="1"/>
  <c r="C78" i="1"/>
  <c r="E69" i="1"/>
  <c r="C69" i="1"/>
  <c r="E50" i="1"/>
  <c r="C50" i="1"/>
  <c r="E44" i="1"/>
  <c r="E41" i="1"/>
  <c r="C41" i="1"/>
  <c r="E39" i="1"/>
  <c r="C39" i="1"/>
  <c r="E37" i="1"/>
  <c r="E27" i="1"/>
  <c r="E18" i="1"/>
  <c r="C18" i="1"/>
  <c r="Q35" i="14"/>
  <c r="P35" i="14"/>
  <c r="O35" i="14"/>
  <c r="N35" i="14"/>
  <c r="J19" i="4" s="1"/>
  <c r="N19" i="4" s="1"/>
  <c r="M35" i="14"/>
  <c r="AA38" i="14"/>
  <c r="N20" i="4"/>
  <c r="H28" i="5"/>
  <c r="H19" i="9" l="1"/>
  <c r="H41" i="9"/>
  <c r="G60" i="9"/>
  <c r="H60" i="9" s="1"/>
  <c r="G21" i="9"/>
  <c r="H21" i="9" s="1"/>
  <c r="E62" i="9"/>
  <c r="H12" i="9"/>
  <c r="H23" i="8"/>
  <c r="H94" i="8"/>
  <c r="H93" i="8"/>
  <c r="H61" i="8"/>
  <c r="H58" i="7"/>
  <c r="G77" i="7"/>
  <c r="H60" i="7"/>
  <c r="H64" i="7"/>
  <c r="E66" i="7"/>
  <c r="C66" i="7"/>
  <c r="G66" i="7"/>
  <c r="H62" i="7"/>
  <c r="H49" i="7"/>
  <c r="H26" i="7"/>
  <c r="H37" i="7"/>
  <c r="H85" i="7"/>
  <c r="H28" i="7"/>
  <c r="H24" i="7"/>
  <c r="E38" i="7"/>
  <c r="G38" i="7"/>
  <c r="G68" i="7" s="1"/>
  <c r="H14" i="7"/>
  <c r="C38" i="7"/>
  <c r="H26" i="5"/>
  <c r="C19" i="5"/>
  <c r="E19" i="5"/>
  <c r="H19" i="5" s="1"/>
  <c r="G215" i="1"/>
  <c r="G127" i="1"/>
  <c r="G154" i="1"/>
  <c r="G79" i="1"/>
  <c r="G51" i="1"/>
  <c r="C215" i="1"/>
  <c r="E79" i="1"/>
  <c r="E19" i="1"/>
  <c r="C42" i="14"/>
  <c r="Z35" i="14"/>
  <c r="Z38" i="14" s="1"/>
  <c r="J21" i="4"/>
  <c r="N21" i="4" s="1"/>
  <c r="E154" i="1"/>
  <c r="E215" i="1"/>
  <c r="C19" i="1"/>
  <c r="E127" i="1"/>
  <c r="C51" i="1"/>
  <c r="C79" i="1"/>
  <c r="E51" i="1"/>
  <c r="C154" i="1"/>
  <c r="H29" i="8"/>
  <c r="E87" i="7"/>
  <c r="C87" i="7"/>
  <c r="C127" i="1"/>
  <c r="G62" i="9" l="1"/>
  <c r="H62" i="9" s="1"/>
  <c r="H95" i="8"/>
  <c r="E68" i="7"/>
  <c r="H68" i="7" s="1"/>
  <c r="H66" i="7"/>
  <c r="H77" i="7"/>
  <c r="G87" i="7"/>
  <c r="H87" i="7" s="1"/>
  <c r="H38" i="7"/>
  <c r="G301" i="1"/>
  <c r="G108" i="1"/>
  <c r="C108" i="1"/>
  <c r="E108" i="1"/>
  <c r="E301" i="1"/>
  <c r="C301" i="1"/>
  <c r="H30" i="8"/>
  <c r="H91" i="8"/>
  <c r="H39" i="5"/>
  <c r="G303" i="1" l="1"/>
  <c r="E303" i="1"/>
  <c r="C303" i="1"/>
</calcChain>
</file>

<file path=xl/sharedStrings.xml><?xml version="1.0" encoding="utf-8"?>
<sst xmlns="http://schemas.openxmlformats.org/spreadsheetml/2006/main" count="749" uniqueCount="349">
  <si>
    <t>Club Canin Chomedey Inc.</t>
  </si>
  <si>
    <t>État des résultats sur plusieurs périodes</t>
  </si>
  <si>
    <t/>
  </si>
  <si>
    <t xml:space="preserve"> </t>
  </si>
  <si>
    <t>01/03/2022 au 28/02/2023</t>
  </si>
  <si>
    <t>PRODUIT</t>
  </si>
  <si>
    <t>Cotisations</t>
  </si>
  <si>
    <t>Activités Sociales</t>
  </si>
  <si>
    <t>Ateliers</t>
  </si>
  <si>
    <t>Total Activités,Ateliers,Conférence</t>
  </si>
  <si>
    <t>Magasin</t>
  </si>
  <si>
    <t>Levées de fonds</t>
  </si>
  <si>
    <t>Fun Match Agilité</t>
  </si>
  <si>
    <t>Total Fun Match &amp; Sanction Match</t>
  </si>
  <si>
    <t>Total - Produit des activités</t>
  </si>
  <si>
    <t>Produits - Cours Base &amp; Club</t>
  </si>
  <si>
    <t>Agilité - Base 1</t>
  </si>
  <si>
    <t>Agilité - Base 2 et Pré-Novic</t>
  </si>
  <si>
    <t>Agilité - Cours Club</t>
  </si>
  <si>
    <t>Agilité - Initiation</t>
  </si>
  <si>
    <t>Agilité - Cours Base Remboursements</t>
  </si>
  <si>
    <t>Total - Produits Agilité</t>
  </si>
  <si>
    <t>Obéissance - Maternelle</t>
  </si>
  <si>
    <t>Obéissance - Base 1</t>
  </si>
  <si>
    <t>Obéissance - Base 2 et Pré-Novice</t>
  </si>
  <si>
    <t>Obéissance - Cours Club</t>
  </si>
  <si>
    <t>Obéissance -  Focus et Jeux</t>
  </si>
  <si>
    <t>Obéissance - Chien Ado</t>
  </si>
  <si>
    <t>Obéissance - Base Remboursements</t>
  </si>
  <si>
    <t>Obéissance - Club Remboursements</t>
  </si>
  <si>
    <t>Obéissance - Fantaisie 1 et 2</t>
  </si>
  <si>
    <t>Total - Produits Obéissance</t>
  </si>
  <si>
    <t>Produits Conformation</t>
  </si>
  <si>
    <t>Total - Produits Conformation</t>
  </si>
  <si>
    <t>Produits Fun Match</t>
  </si>
  <si>
    <t>Total - Produits Fun Match</t>
  </si>
  <si>
    <t>Produits Rally-O</t>
  </si>
  <si>
    <t>Rallye-O - Cours Club</t>
  </si>
  <si>
    <t>Total - Produits Rally-O</t>
  </si>
  <si>
    <t>Stimulation mentale</t>
  </si>
  <si>
    <t>Travail de flair</t>
  </si>
  <si>
    <t>Travail de Flair - Cours Club</t>
  </si>
  <si>
    <t>Travail de Flair - Remboursements</t>
  </si>
  <si>
    <t>Fantaisie</t>
  </si>
  <si>
    <t>Total - Cours spéciaux</t>
  </si>
  <si>
    <t>Total - Produits Cours Base &amp; Club</t>
  </si>
  <si>
    <t>Produits - Concours Septembre</t>
  </si>
  <si>
    <t>Réguliers, BP, Spécialités</t>
  </si>
  <si>
    <t>Exhibitions</t>
  </si>
  <si>
    <t>Listed + BP</t>
  </si>
  <si>
    <t>Agilité</t>
  </si>
  <si>
    <t>BVC-CGN</t>
  </si>
  <si>
    <t>Fun Match - Agilité</t>
  </si>
  <si>
    <t>Show'n Go - Obéissance</t>
  </si>
  <si>
    <t>Obéissance</t>
  </si>
  <si>
    <t>Show'n Go - Rallye-O</t>
  </si>
  <si>
    <t>Clinique SANTE</t>
  </si>
  <si>
    <t>Rallye-O</t>
  </si>
  <si>
    <t>Sport Ratier</t>
  </si>
  <si>
    <t>Inscriptions</t>
  </si>
  <si>
    <t>Entrée Spectateur</t>
  </si>
  <si>
    <t>Kiosques</t>
  </si>
  <si>
    <t>Catalogues</t>
  </si>
  <si>
    <t>Droit de Camping</t>
  </si>
  <si>
    <t>Électricité Grooming</t>
  </si>
  <si>
    <t>Commanditaires</t>
  </si>
  <si>
    <t>Autres</t>
  </si>
  <si>
    <t>Total - Autres</t>
  </si>
  <si>
    <t>Total - Produits Concours Septembre</t>
  </si>
  <si>
    <t>Fun Match - Ob et Rally-O</t>
  </si>
  <si>
    <t>Total- Concours AAC</t>
  </si>
  <si>
    <t>TOTAL PRODUIT</t>
  </si>
  <si>
    <t>CHARGE</t>
  </si>
  <si>
    <t>Charges des activités</t>
  </si>
  <si>
    <t>Activités sociales - Charges</t>
  </si>
  <si>
    <t>Magasin - achats</t>
  </si>
  <si>
    <t>Magasin - ajustement  inventaire</t>
  </si>
  <si>
    <t>Total - Magasin</t>
  </si>
  <si>
    <t>Total - Charges des activités</t>
  </si>
  <si>
    <t>Charges - Cours Base &amp; Club</t>
  </si>
  <si>
    <t>Agilité - Base 2 &amp; Pré-novice</t>
  </si>
  <si>
    <t>Agilité - Pré-novice /Novice</t>
  </si>
  <si>
    <t>Agilité - Novice / Inter / Master</t>
  </si>
  <si>
    <t>Total - Charge Agilité</t>
  </si>
  <si>
    <t>Obéissance - Base 2 &amp; Pré-Novice</t>
  </si>
  <si>
    <t>Obéissance - Club</t>
  </si>
  <si>
    <t>Obéissance - Fantaisie</t>
  </si>
  <si>
    <t>Total - Charge Obéissance</t>
  </si>
  <si>
    <t>Charge Conformation</t>
  </si>
  <si>
    <t>Total - Charge Conformation</t>
  </si>
  <si>
    <t>Charge Rally-O</t>
  </si>
  <si>
    <t>Total - Charges Rally-O</t>
  </si>
  <si>
    <t>Charge -Travail De Flair</t>
  </si>
  <si>
    <t>Cours spéciaux</t>
  </si>
  <si>
    <t>Rubans</t>
  </si>
  <si>
    <t>Total - Charges Cours Base &amp; Club</t>
  </si>
  <si>
    <t>Charges - Concours Septembre</t>
  </si>
  <si>
    <t>Redevances - Associations</t>
  </si>
  <si>
    <t>Redevances - Spécialités</t>
  </si>
  <si>
    <t>Redevances - Booster</t>
  </si>
  <si>
    <t>Redevances - Agilité</t>
  </si>
  <si>
    <t>Redevances - Bon Voisin Canin</t>
  </si>
  <si>
    <t>Redevances - Sweepstakes</t>
  </si>
  <si>
    <t>Redevances</t>
  </si>
  <si>
    <t>Juges - Conformation</t>
  </si>
  <si>
    <t>Juges - Obéissance</t>
  </si>
  <si>
    <t>Juges - Agilité</t>
  </si>
  <si>
    <t>Juges - Rally-O</t>
  </si>
  <si>
    <t>Juges - BVC</t>
  </si>
  <si>
    <t>Juges - Avion/Transport</t>
  </si>
  <si>
    <t>Juges - Hébergement</t>
  </si>
  <si>
    <t>Stewarts</t>
  </si>
  <si>
    <t>Juges - Papeterie</t>
  </si>
  <si>
    <t>Juges - Repas</t>
  </si>
  <si>
    <t>Vétérinaire - Clinique SANTE</t>
  </si>
  <si>
    <t>Juge - Sports Ratiers</t>
  </si>
  <si>
    <t>Honoraires Juges</t>
  </si>
  <si>
    <t>Hospitalité - Repas</t>
  </si>
  <si>
    <t>Hospitalité</t>
  </si>
  <si>
    <t>Emplacement - Location</t>
  </si>
  <si>
    <t>Emplacement</t>
  </si>
  <si>
    <t>Secrétariat - Frais</t>
  </si>
  <si>
    <t>Secrétariat - Catalogues 1500</t>
  </si>
  <si>
    <t>Secrétariat - Premium list 120</t>
  </si>
  <si>
    <t>Secrétariat - Poste et Papetrie</t>
  </si>
  <si>
    <t>Secrétariat - Papeterie Agilité</t>
  </si>
  <si>
    <t>Secrétariat - Rally-O</t>
  </si>
  <si>
    <t>Secrétariat - Obéissance</t>
  </si>
  <si>
    <t>Secrétariat</t>
  </si>
  <si>
    <t>Rubans - Agilité</t>
  </si>
  <si>
    <t>Rubans - Sports Ratiers</t>
  </si>
  <si>
    <t>Fournitures - Taxable</t>
  </si>
  <si>
    <t>Fournitures</t>
  </si>
  <si>
    <t>Divers - Publicité</t>
  </si>
  <si>
    <t>Divers</t>
  </si>
  <si>
    <t>Total - Charges Concours Septembre</t>
  </si>
  <si>
    <t>Redevances AAC</t>
  </si>
  <si>
    <t>Location Emplacement</t>
  </si>
  <si>
    <t>Hotel juges</t>
  </si>
  <si>
    <t>Juges - photocopies</t>
  </si>
  <si>
    <t>Lunch bénévoles</t>
  </si>
  <si>
    <t>Cadeaux juges</t>
  </si>
  <si>
    <t>Cadeaux Bénévoles</t>
  </si>
  <si>
    <t>Transport Juges</t>
  </si>
  <si>
    <t>Repas juges</t>
  </si>
  <si>
    <t>Pourboires</t>
  </si>
  <si>
    <t>Location équipements</t>
  </si>
  <si>
    <t>Frais généraux d'administration</t>
  </si>
  <si>
    <t>Honoraires Professionnels</t>
  </si>
  <si>
    <t>Publicité &amp; promotions</t>
  </si>
  <si>
    <t>Permis, Taxes &amp; Licences</t>
  </si>
  <si>
    <t>Moneris - Frais mensuels</t>
  </si>
  <si>
    <t>Frais PayPal</t>
  </si>
  <si>
    <t>Courrier &amp; frais postaux</t>
  </si>
  <si>
    <t>Amortissement de l'exercice</t>
  </si>
  <si>
    <t>Assurance</t>
  </si>
  <si>
    <t>Intérêt &amp; frais bancaires</t>
  </si>
  <si>
    <t>Fournitures et papeterie</t>
  </si>
  <si>
    <t>Frais pour CA, Membres &amp; bénévoles</t>
  </si>
  <si>
    <t>Associations</t>
  </si>
  <si>
    <t>Loyer</t>
  </si>
  <si>
    <t>Charges entretien ménager</t>
  </si>
  <si>
    <t>Fournitures &amp; Entretien du local</t>
  </si>
  <si>
    <t>Fournitures &amp; Entretien conformatio</t>
  </si>
  <si>
    <t>Fournitures &amp; entretien Agilité</t>
  </si>
  <si>
    <t>Fournitures Travail de Flair</t>
  </si>
  <si>
    <t>Fourniture et Equipement local</t>
  </si>
  <si>
    <t>Electricité - chauffage</t>
  </si>
  <si>
    <t>Téléphone et Internet</t>
  </si>
  <si>
    <t>Site Web</t>
  </si>
  <si>
    <t>Transport</t>
  </si>
  <si>
    <t>Activités sociales</t>
  </si>
  <si>
    <t>Total - Frais généraux d'admin.</t>
  </si>
  <si>
    <t>TOTAL CHARGE</t>
  </si>
  <si>
    <t>BÉNÉFICE NET</t>
  </si>
  <si>
    <t>Créé le: 28/03/2023</t>
  </si>
  <si>
    <t>États financiers</t>
  </si>
  <si>
    <t>Bilan</t>
  </si>
  <si>
    <t>État des résultats</t>
  </si>
  <si>
    <t>Balance de vérification</t>
  </si>
  <si>
    <t>Notes complémentaires</t>
  </si>
  <si>
    <t>Produits et Charges</t>
  </si>
  <si>
    <t>Annexes A et B Cours et Concours</t>
  </si>
  <si>
    <t>Annexe C Frais administratifs</t>
  </si>
  <si>
    <t>Renseignements Concours Septembre</t>
  </si>
  <si>
    <t>Inventaire</t>
  </si>
  <si>
    <t>Immobilisations</t>
  </si>
  <si>
    <t>Cours et Concours</t>
  </si>
  <si>
    <t xml:space="preserve">Etat des résultats : </t>
  </si>
  <si>
    <t>(non audité)</t>
  </si>
  <si>
    <t>1 - STATUTS ET OBJECTIF DE L'ORGANISME</t>
  </si>
  <si>
    <t>L'organisme, constitué en vertu de la Partie III de la Loi sur les compagnies (Québec), a pour objectif</t>
  </si>
  <si>
    <t>de s'impliquer dans les milieux de l'obéissance, de l'agilité et de la conformation canine.</t>
  </si>
  <si>
    <t>2 - IMMOBILISATIONS</t>
  </si>
  <si>
    <t>Valeur</t>
  </si>
  <si>
    <t>Amortissement</t>
  </si>
  <si>
    <t>comptable</t>
  </si>
  <si>
    <t>Coût</t>
  </si>
  <si>
    <t>cumulé</t>
  </si>
  <si>
    <t>nette</t>
  </si>
  <si>
    <t>Mobilier et équipement</t>
  </si>
  <si>
    <t>Logiciels et équipement informatique</t>
  </si>
  <si>
    <t>Les immobilisations corporelles sont amorties en fonction de leur durée probable d'utilisation selon</t>
  </si>
  <si>
    <t>la méthode de l'amortissement linéaire et les périodes qui suivent :</t>
  </si>
  <si>
    <t>Périodes</t>
  </si>
  <si>
    <t>linéaire</t>
  </si>
  <si>
    <t>5 ans</t>
  </si>
  <si>
    <t>Equipement informatique</t>
  </si>
  <si>
    <t>Dégressif</t>
  </si>
  <si>
    <t>-</t>
  </si>
  <si>
    <t>Produit des activités</t>
  </si>
  <si>
    <t>Résultats</t>
  </si>
  <si>
    <t>Annexes A et B - Cours et expositions</t>
  </si>
  <si>
    <t>Annexe C - Frais administratifs</t>
  </si>
  <si>
    <t>Résultats des cours</t>
  </si>
  <si>
    <t>Expositions - produits annexe B</t>
  </si>
  <si>
    <t>Produits - Cours Base &amp; Club - annexe A</t>
  </si>
  <si>
    <t>Total</t>
  </si>
  <si>
    <t xml:space="preserve">Total - Produits </t>
  </si>
  <si>
    <t>Expositions - charges</t>
  </si>
  <si>
    <t>Total - Charges</t>
  </si>
  <si>
    <t>Résultat des expositions</t>
  </si>
  <si>
    <t>Concours de septembre</t>
  </si>
  <si>
    <t>Profit (déficit)</t>
  </si>
  <si>
    <t>Inventaire du magasin</t>
  </si>
  <si>
    <t>Date</t>
  </si>
  <si>
    <t>Commentaire</t>
  </si>
  <si>
    <t>GL#</t>
  </si>
  <si>
    <t>Inventaire au 28 février 2022</t>
  </si>
  <si>
    <t>GL #</t>
  </si>
  <si>
    <t>Inventaire au 28 février 2023</t>
  </si>
  <si>
    <t>Tableau d'amortissement Club Canin Chomedey</t>
  </si>
  <si>
    <t>Équipement GL 1820</t>
  </si>
  <si>
    <t>Taux (5 ans)</t>
  </si>
  <si>
    <t>1ère année</t>
  </si>
  <si>
    <t>selon le calcul d'implication de l'équipement</t>
  </si>
  <si>
    <t>Acquisitions</t>
  </si>
  <si>
    <t>Totalement amortis</t>
  </si>
  <si>
    <t>Validation</t>
  </si>
  <si>
    <t>Coût à amortir</t>
  </si>
  <si>
    <t>Amortissement coût à amortir</t>
  </si>
  <si>
    <t>TOTAL</t>
  </si>
  <si>
    <t>Logiciel et Equipement informatique GL</t>
  </si>
  <si>
    <t>800.79</t>
  </si>
  <si>
    <t>220.21</t>
  </si>
  <si>
    <t>319.31</t>
  </si>
  <si>
    <t>261.27</t>
  </si>
  <si>
    <t>Portable: amortissement 55%</t>
  </si>
  <si>
    <t>1325.79</t>
  </si>
  <si>
    <t>300.21 $</t>
  </si>
  <si>
    <t>374.31 $</t>
  </si>
  <si>
    <t>288.77 $</t>
  </si>
  <si>
    <t>GL5660</t>
  </si>
  <si>
    <t>notes</t>
  </si>
  <si>
    <t>monter l'année qui n'a plus d'amortissement en haut</t>
  </si>
  <si>
    <t>insérer une ligne au besoin</t>
  </si>
  <si>
    <t>monter les années en cours d'une ligne mettre la nouvelle année sur la derniere ligne</t>
  </si>
  <si>
    <t>s'assurer que c,est bien la bonne ligne pour le calcul v.rifier dans la cellule</t>
  </si>
  <si>
    <t>faire le calcul avec le fichier sur le drive dans Immobilisations</t>
  </si>
  <si>
    <t>01/03/2023 au 29/02/2024</t>
  </si>
  <si>
    <t>Fun match Frisbee</t>
  </si>
  <si>
    <t>Conférences</t>
  </si>
  <si>
    <t>Fun match Sprinter</t>
  </si>
  <si>
    <t>Agilité - Perfectionnement</t>
  </si>
  <si>
    <t>Redevances - Sports ratiers</t>
  </si>
  <si>
    <t>Rubans - Conformation</t>
  </si>
  <si>
    <t>Rubans - Obéissance</t>
  </si>
  <si>
    <t>Fournitures - Accueil</t>
  </si>
  <si>
    <t>Stripe/Square - Frais de transactions</t>
  </si>
  <si>
    <t>Fournitures &amp; Entretien Obéissance</t>
  </si>
  <si>
    <t>pour l'exercice terminé le 29 février 2024</t>
  </si>
  <si>
    <t>Rosemère  - Profit (déficit)</t>
  </si>
  <si>
    <t>BDBR - Profit (déficit)</t>
  </si>
  <si>
    <t>Profit total (déficit)</t>
  </si>
  <si>
    <t>Concours AAC</t>
  </si>
  <si>
    <t>Inventaire au 29 février 2024</t>
  </si>
  <si>
    <t>Matériel informatique</t>
  </si>
  <si>
    <t>Frais de représentation</t>
  </si>
  <si>
    <t>Total- Concours AAC (BDBR 2023)</t>
  </si>
  <si>
    <t>Transport d'équipement</t>
  </si>
  <si>
    <t>Divers - Rencontre post mortem</t>
  </si>
  <si>
    <t>Divers - Électricité</t>
  </si>
  <si>
    <t>Divers - Location Tables, chaises, …</t>
  </si>
  <si>
    <t>Divers - Transport</t>
  </si>
  <si>
    <t>Cadeaux - Bénévoles</t>
  </si>
  <si>
    <t>Cadeaux</t>
  </si>
  <si>
    <t>Divers - Perte d'un vol</t>
  </si>
  <si>
    <t>Obéissance - Remboursements</t>
  </si>
  <si>
    <t>Agilité cours club - Remboursement</t>
  </si>
  <si>
    <t>Cours de base &amp; club - Charges</t>
  </si>
  <si>
    <t>Publicité Programme</t>
  </si>
  <si>
    <t>Autre produit</t>
  </si>
  <si>
    <t>Vente équipement désuet</t>
  </si>
  <si>
    <t>Total - Autre produit</t>
  </si>
  <si>
    <t>Sports ratiers - Septembre - charges</t>
  </si>
  <si>
    <t>Intérêts sur placement</t>
  </si>
  <si>
    <t>01/03/2024 au 28/02/2025</t>
  </si>
  <si>
    <t>Inscriptions Sprinter - automne</t>
  </si>
  <si>
    <t>Inscriptions Sprinter - printemps</t>
  </si>
  <si>
    <t>Autres - Revenus Sprinter printemps</t>
  </si>
  <si>
    <t>Clinique YEUX</t>
  </si>
  <si>
    <t>Clinique Cœur</t>
  </si>
  <si>
    <t>Clinique BAER</t>
  </si>
  <si>
    <t>Produits- Concours AAC (Rosemère)</t>
  </si>
  <si>
    <t>Produits- Concours AAC (BDBR)</t>
  </si>
  <si>
    <t>Produits- Provincial AAC</t>
  </si>
  <si>
    <t>Inscriptions - vendredi</t>
  </si>
  <si>
    <t>Achats - boutique en ligne</t>
  </si>
  <si>
    <t>Achats divers</t>
  </si>
  <si>
    <t>Sprinter - Emplacement - Automne</t>
  </si>
  <si>
    <t>Sprinter - Divers - Automne</t>
  </si>
  <si>
    <t>Sprinter - Emplacement - Printemps</t>
  </si>
  <si>
    <t>Sprinter - Divers - Printemps</t>
  </si>
  <si>
    <t>Agilité - Initiation -Base 1</t>
  </si>
  <si>
    <t>Rubans - Rally-O</t>
  </si>
  <si>
    <t>Cadeaux - Juges</t>
  </si>
  <si>
    <t>Divers - Fleurs</t>
  </si>
  <si>
    <t>Charges- Concours AAC (BDBR)</t>
  </si>
  <si>
    <t>Charges- Provincial AAC</t>
  </si>
  <si>
    <t>Cadeaux participants</t>
  </si>
  <si>
    <t>Déneigement</t>
  </si>
  <si>
    <t>Commandite</t>
  </si>
  <si>
    <t>Bilan au 28 février 2025</t>
  </si>
  <si>
    <t>au 28 février 2025</t>
  </si>
  <si>
    <t>Résultats Concours Provincial AAC</t>
  </si>
  <si>
    <t>Résultats Concours CKC Terrebonne</t>
  </si>
  <si>
    <t>Résultats Concours AAC Rosemère</t>
  </si>
  <si>
    <t>GL</t>
  </si>
  <si>
    <t>Inventaire au 28 février 2025</t>
  </si>
  <si>
    <t>Renseignements Concours Provincial AAC</t>
  </si>
  <si>
    <t>Renseignements Concours Avril AAC</t>
  </si>
  <si>
    <t>pour l'exercice terminé le 28 février 2025</t>
  </si>
  <si>
    <t>Écart 2024/2025</t>
  </si>
  <si>
    <t>Total - Concours Sprinter CKC</t>
  </si>
  <si>
    <t>Total - Charges Concours Sprinter</t>
  </si>
  <si>
    <t>Total - Provincial AAC</t>
  </si>
  <si>
    <t>Total - Charges Provincial AAC</t>
  </si>
  <si>
    <t>Total - Charges Concours AAC</t>
  </si>
  <si>
    <t>Produits- Concours AAC (Rosemère Avril)</t>
  </si>
  <si>
    <t>Produits- Concours AAC (BDBR Juillet)</t>
  </si>
  <si>
    <t>Charges- Concours AAC (Rosemère Avril)</t>
  </si>
  <si>
    <t>Charges- Concours AAC (BDBR Juillet)</t>
  </si>
  <si>
    <t>Total- Concours Provincial AAC</t>
  </si>
  <si>
    <t>Produits- Sprinter CKC</t>
  </si>
  <si>
    <t>Total Produits Sprinter CKC</t>
  </si>
  <si>
    <t>Charges- Sprinter CKC</t>
  </si>
  <si>
    <t>Total Charges Sprinter CKC</t>
  </si>
  <si>
    <t>2/28/2025</t>
  </si>
  <si>
    <t>Divers -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</si>
</sst>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$&quot;_);[Red]\(#,##0.00\ &quot;$&quot;\)"/>
    <numFmt numFmtId="44" formatCode="_ * #,##0.00_)\ &quot;$&quot;_ ;_ * \(#,##0.00\)\ &quot;$&quot;_ ;_ * &quot;-&quot;??_)\ &quot;$&quot;_ ;_ @_ "/>
    <numFmt numFmtId="164" formatCode="_-&quot;$&quot;* #,##0.00_-;\-&quot;$&quot;* #,##0.00_-;_-&quot;$&quot;* &quot;-&quot;??_-;_-@_-"/>
    <numFmt numFmtId="165" formatCode="#,##0.00\ ;\-#,##0.00"/>
    <numFmt numFmtId="166" formatCode="#,##0\ &quot;$&quot;"/>
    <numFmt numFmtId="167" formatCode="_ * #,##0_)\ &quot;$&quot;_ ;_ * \(#,##0\)\ &quot;$&quot;_ ;_ * &quot;-&quot;??_)\ &quot;$&quot;_ ;_ @_ 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5"/>
      <color theme="1"/>
      <name val="Cambria"/>
      <family val="1"/>
    </font>
    <font>
      <b/>
      <sz val="13"/>
      <color theme="1"/>
      <name val="Cambria"/>
      <family val="1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Arial"/>
      <family val="2"/>
    </font>
    <font>
      <sz val="16"/>
      <color theme="1"/>
      <name val="Calibri"/>
      <family val="2"/>
      <scheme val="minor"/>
    </font>
    <font>
      <sz val="11"/>
      <color theme="1"/>
      <name val="Cambria"/>
      <family val="1"/>
    </font>
    <font>
      <sz val="9"/>
      <color theme="1"/>
      <name val="Cambria"/>
      <family val="1"/>
    </font>
    <font>
      <b/>
      <i/>
      <sz val="11"/>
      <color theme="1"/>
      <name val="Cambria"/>
      <family val="1"/>
    </font>
    <font>
      <b/>
      <sz val="11"/>
      <color theme="1"/>
      <name val="Cambria"/>
      <family val="1"/>
    </font>
    <font>
      <i/>
      <sz val="11"/>
      <color theme="1"/>
      <name val="Cambria"/>
      <family val="1"/>
    </font>
    <font>
      <sz val="12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sz val="11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u val="doubleAccounting"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8">
    <xf numFmtId="0" fontId="0" fillId="0" borderId="0" xfId="0"/>
    <xf numFmtId="0" fontId="3" fillId="0" borderId="0" xfId="0" quotePrefix="1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quotePrefix="1" applyFont="1" applyAlignment="1">
      <alignment horizontal="left"/>
    </xf>
    <xf numFmtId="0" fontId="4" fillId="0" borderId="1" xfId="0" quotePrefix="1" applyFont="1" applyBorder="1" applyAlignment="1">
      <alignment horizontal="center"/>
    </xf>
    <xf numFmtId="165" fontId="4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2" fillId="0" borderId="0" xfId="0" applyFont="1"/>
    <xf numFmtId="165" fontId="3" fillId="0" borderId="1" xfId="0" applyNumberFormat="1" applyFont="1" applyBorder="1" applyAlignment="1">
      <alignment horizontal="right"/>
    </xf>
    <xf numFmtId="0" fontId="5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9" fontId="14" fillId="0" borderId="0" xfId="0" applyNumberFormat="1" applyFont="1"/>
    <xf numFmtId="166" fontId="14" fillId="0" borderId="0" xfId="0" applyNumberFormat="1" applyFont="1"/>
    <xf numFmtId="44" fontId="7" fillId="0" borderId="0" xfId="0" applyNumberFormat="1" applyFont="1"/>
    <xf numFmtId="167" fontId="14" fillId="0" borderId="0" xfId="1" applyNumberFormat="1" applyFont="1"/>
    <xf numFmtId="0" fontId="19" fillId="0" borderId="0" xfId="0" applyFont="1"/>
    <xf numFmtId="39" fontId="0" fillId="0" borderId="0" xfId="0" applyNumberFormat="1"/>
    <xf numFmtId="0" fontId="2" fillId="0" borderId="0" xfId="0" applyFont="1" applyAlignment="1">
      <alignment horizontal="center"/>
    </xf>
    <xf numFmtId="0" fontId="20" fillId="0" borderId="0" xfId="0" quotePrefix="1" applyFont="1" applyAlignment="1">
      <alignment horizontal="left"/>
    </xf>
    <xf numFmtId="0" fontId="21" fillId="0" borderId="0" xfId="0" quotePrefix="1" applyFont="1" applyAlignment="1">
      <alignment horizontal="left"/>
    </xf>
    <xf numFmtId="0" fontId="22" fillId="0" borderId="0" xfId="0" applyFont="1"/>
    <xf numFmtId="0" fontId="23" fillId="0" borderId="0" xfId="0" applyFont="1"/>
    <xf numFmtId="39" fontId="2" fillId="0" borderId="0" xfId="0" applyNumberFormat="1" applyFont="1"/>
    <xf numFmtId="0" fontId="21" fillId="0" borderId="4" xfId="0" applyFont="1" applyBorder="1"/>
    <xf numFmtId="0" fontId="23" fillId="0" borderId="2" xfId="0" applyFont="1" applyBorder="1"/>
    <xf numFmtId="39" fontId="23" fillId="0" borderId="2" xfId="0" applyNumberFormat="1" applyFont="1" applyBorder="1"/>
    <xf numFmtId="0" fontId="2" fillId="0" borderId="4" xfId="0" applyFont="1" applyBorder="1"/>
    <xf numFmtId="0" fontId="2" fillId="0" borderId="2" xfId="0" applyFont="1" applyBorder="1"/>
    <xf numFmtId="39" fontId="2" fillId="0" borderId="2" xfId="0" applyNumberFormat="1" applyFont="1" applyBorder="1"/>
    <xf numFmtId="44" fontId="24" fillId="0" borderId="0" xfId="0" applyNumberFormat="1" applyFont="1"/>
    <xf numFmtId="0" fontId="25" fillId="0" borderId="0" xfId="0" applyFont="1"/>
    <xf numFmtId="9" fontId="25" fillId="0" borderId="0" xfId="0" applyNumberFormat="1" applyFont="1"/>
    <xf numFmtId="0" fontId="26" fillId="0" borderId="0" xfId="0" applyFont="1"/>
    <xf numFmtId="8" fontId="25" fillId="0" borderId="0" xfId="0" applyNumberFormat="1" applyFont="1"/>
    <xf numFmtId="0" fontId="25" fillId="0" borderId="0" xfId="0" applyFont="1" applyAlignment="1">
      <alignment horizontal="right"/>
    </xf>
    <xf numFmtId="44" fontId="8" fillId="0" borderId="0" xfId="0" applyNumberFormat="1" applyFont="1"/>
    <xf numFmtId="44" fontId="8" fillId="0" borderId="0" xfId="1" applyNumberFormat="1" applyFont="1"/>
    <xf numFmtId="44" fontId="25" fillId="0" borderId="0" xfId="0" applyNumberFormat="1" applyFont="1"/>
    <xf numFmtId="44" fontId="0" fillId="0" borderId="0" xfId="0" applyNumberFormat="1"/>
    <xf numFmtId="44" fontId="3" fillId="0" borderId="0" xfId="0" applyNumberFormat="1" applyFont="1" applyAlignment="1">
      <alignment horizontal="right"/>
    </xf>
    <xf numFmtId="44" fontId="4" fillId="0" borderId="0" xfId="0" applyNumberFormat="1" applyFont="1" applyAlignment="1">
      <alignment horizontal="left"/>
    </xf>
    <xf numFmtId="44" fontId="4" fillId="0" borderId="0" xfId="0" applyNumberFormat="1" applyFont="1" applyAlignment="1">
      <alignment horizontal="right"/>
    </xf>
    <xf numFmtId="44" fontId="2" fillId="0" borderId="0" xfId="0" applyNumberFormat="1" applyFont="1"/>
    <xf numFmtId="44" fontId="4" fillId="0" borderId="1" xfId="0" applyNumberFormat="1" applyFont="1" applyBorder="1" applyAlignment="1">
      <alignment horizontal="right"/>
    </xf>
    <xf numFmtId="44" fontId="0" fillId="0" borderId="1" xfId="0" applyNumberFormat="1" applyBorder="1"/>
    <xf numFmtId="44" fontId="3" fillId="0" borderId="1" xfId="0" applyNumberFormat="1" applyFont="1" applyBorder="1" applyAlignment="1">
      <alignment horizontal="right"/>
    </xf>
    <xf numFmtId="44" fontId="3" fillId="0" borderId="2" xfId="0" applyNumberFormat="1" applyFont="1" applyBorder="1" applyAlignment="1">
      <alignment horizontal="right"/>
    </xf>
    <xf numFmtId="44" fontId="3" fillId="0" borderId="3" xfId="0" applyNumberFormat="1" applyFont="1" applyBorder="1" applyAlignment="1">
      <alignment horizontal="right"/>
    </xf>
    <xf numFmtId="44" fontId="2" fillId="0" borderId="1" xfId="0" applyNumberFormat="1" applyFont="1" applyBorder="1"/>
    <xf numFmtId="44" fontId="2" fillId="0" borderId="2" xfId="0" applyNumberFormat="1" applyFont="1" applyBorder="1"/>
    <xf numFmtId="0" fontId="27" fillId="0" borderId="0" xfId="0" applyFont="1"/>
    <xf numFmtId="0" fontId="28" fillId="0" borderId="0" xfId="0" applyFont="1"/>
    <xf numFmtId="44" fontId="28" fillId="0" borderId="0" xfId="0" applyNumberFormat="1" applyFont="1"/>
    <xf numFmtId="44" fontId="28" fillId="0" borderId="1" xfId="0" applyNumberFormat="1" applyFont="1" applyBorder="1"/>
    <xf numFmtId="44" fontId="28" fillId="0" borderId="2" xfId="0" applyNumberFormat="1" applyFont="1" applyBorder="1"/>
    <xf numFmtId="44" fontId="2" fillId="0" borderId="0" xfId="0" applyNumberFormat="1" applyFont="1" applyAlignment="1">
      <alignment horizontal="center"/>
    </xf>
    <xf numFmtId="39" fontId="27" fillId="0" borderId="2" xfId="0" applyNumberFormat="1" applyFont="1" applyBorder="1"/>
    <xf numFmtId="39" fontId="27" fillId="0" borderId="0" xfId="0" applyNumberFormat="1" applyFont="1"/>
    <xf numFmtId="44" fontId="27" fillId="0" borderId="0" xfId="0" applyNumberFormat="1" applyFont="1"/>
    <xf numFmtId="44" fontId="29" fillId="0" borderId="2" xfId="0" applyNumberFormat="1" applyFont="1" applyBorder="1"/>
    <xf numFmtId="39" fontId="27" fillId="0" borderId="1" xfId="0" applyNumberFormat="1" applyFont="1" applyBorder="1"/>
    <xf numFmtId="0" fontId="27" fillId="0" borderId="2" xfId="0" applyFont="1" applyBorder="1"/>
    <xf numFmtId="0" fontId="30" fillId="0" borderId="0" xfId="0" applyFont="1"/>
    <xf numFmtId="44" fontId="30" fillId="0" borderId="0" xfId="0" applyNumberFormat="1" applyFont="1"/>
    <xf numFmtId="44" fontId="4" fillId="0" borderId="1" xfId="0" applyNumberFormat="1" applyFont="1" applyBorder="1" applyAlignment="1">
      <alignment horizontal="left"/>
    </xf>
    <xf numFmtId="0" fontId="31" fillId="0" borderId="0" xfId="0" applyFont="1"/>
    <xf numFmtId="44" fontId="32" fillId="0" borderId="0" xfId="0" applyNumberFormat="1" applyFont="1"/>
    <xf numFmtId="44" fontId="31" fillId="0" borderId="0" xfId="0" applyNumberFormat="1" applyFont="1"/>
    <xf numFmtId="44" fontId="33" fillId="0" borderId="0" xfId="0" applyNumberFormat="1" applyFont="1"/>
    <xf numFmtId="44" fontId="2" fillId="0" borderId="5" xfId="0" applyNumberFormat="1" applyFont="1" applyBorder="1"/>
    <xf numFmtId="44" fontId="0" fillId="0" borderId="5" xfId="0" applyNumberFormat="1" applyBorder="1"/>
    <xf numFmtId="44" fontId="2" fillId="0" borderId="3" xfId="0" applyNumberFormat="1" applyFont="1" applyBorder="1"/>
    <xf numFmtId="44" fontId="2" fillId="0" borderId="6" xfId="0" applyNumberFormat="1" applyFont="1" applyBorder="1"/>
    <xf numFmtId="44" fontId="0" fillId="2" borderId="0" xfId="0" applyNumberFormat="1" applyFill="1"/>
    <xf numFmtId="165" fontId="3" fillId="0" borderId="0" xfId="0" applyNumberFormat="1" applyFont="1" applyAlignment="1">
      <alignment horizontal="right"/>
    </xf>
    <xf numFmtId="44" fontId="2" fillId="0" borderId="7" xfId="0" applyNumberFormat="1" applyFont="1" applyBorder="1"/>
    <xf numFmtId="0" fontId="3" fillId="0" borderId="0" xfId="0" quotePrefix="1" applyFont="1" applyAlignment="1">
      <alignment horizontal="lef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25400</xdr:colOff>
      <xdr:row>13</xdr:row>
      <xdr:rowOff>120650</xdr:rowOff>
    </xdr:to>
    <xdr:pic>
      <xdr:nvPicPr>
        <xdr:cNvPr id="2387" name="Image 1">
          <a:extLst>
            <a:ext uri="{FF2B5EF4-FFF2-40B4-BE49-F238E27FC236}">
              <a16:creationId xmlns:a16="http://schemas.microsoft.com/office/drawing/2014/main" id="{B8608CB5-910D-F617-B49B-151D051696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11400" cy="265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25400</xdr:colOff>
      <xdr:row>13</xdr:row>
      <xdr:rowOff>120650</xdr:rowOff>
    </xdr:to>
    <xdr:pic>
      <xdr:nvPicPr>
        <xdr:cNvPr id="3411" name="Image 1">
          <a:extLst>
            <a:ext uri="{FF2B5EF4-FFF2-40B4-BE49-F238E27FC236}">
              <a16:creationId xmlns:a16="http://schemas.microsoft.com/office/drawing/2014/main" id="{C44E1E74-DA15-3F50-0554-68B277D7F7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11400" cy="265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5"/>
  <sheetViews>
    <sheetView showGridLines="0" zoomScale="130" zoomScaleNormal="130" workbookViewId="0">
      <pane xSplit="1" ySplit="4" topLeftCell="B5" activePane="bottomRight" state="frozenSplit"/>
      <selection pane="topRight" activeCell="B1" sqref="B1"/>
      <selection pane="bottomLeft" activeCell="A5" sqref="A5"/>
      <selection pane="bottomRight" activeCell="G6" sqref="G6"/>
    </sheetView>
  </sheetViews>
  <sheetFormatPr baseColWidth="10" defaultRowHeight="15" x14ac:dyDescent="0.25"/>
  <cols>
    <col min="1" max="1" width="26.140625" customWidth="1"/>
    <col min="2" max="2" width="19.28515625" customWidth="1"/>
    <col min="3" max="3" width="12.42578125" style="7" customWidth="1"/>
    <col min="4" max="4" width="19.5703125" customWidth="1"/>
    <col min="5" max="5" width="15.85546875" style="62" customWidth="1"/>
    <col min="6" max="6" width="26.28515625" style="49" customWidth="1"/>
    <col min="7" max="7" width="17.7109375" style="53" customWidth="1"/>
    <col min="8" max="254" width="8.7109375" customWidth="1"/>
    <col min="255" max="255" width="26.140625" customWidth="1"/>
    <col min="256" max="256" width="17.42578125" bestFit="1" customWidth="1"/>
    <col min="257" max="257" width="10.7109375" customWidth="1"/>
    <col min="258" max="258" width="17.42578125" bestFit="1" customWidth="1"/>
    <col min="259" max="259" width="10.7109375" customWidth="1"/>
    <col min="260" max="260" width="18.42578125" customWidth="1"/>
    <col min="261" max="261" width="13.42578125" customWidth="1"/>
    <col min="262" max="510" width="8.7109375" customWidth="1"/>
    <col min="511" max="511" width="26.140625" customWidth="1"/>
    <col min="512" max="512" width="17.42578125" bestFit="1" customWidth="1"/>
    <col min="513" max="513" width="10.7109375" customWidth="1"/>
    <col min="514" max="514" width="17.42578125" bestFit="1" customWidth="1"/>
    <col min="515" max="515" width="10.7109375" customWidth="1"/>
    <col min="516" max="516" width="18.42578125" customWidth="1"/>
    <col min="517" max="517" width="13.42578125" customWidth="1"/>
    <col min="518" max="766" width="8.7109375" customWidth="1"/>
    <col min="767" max="767" width="26.140625" customWidth="1"/>
    <col min="768" max="768" width="17.42578125" bestFit="1" customWidth="1"/>
    <col min="769" max="769" width="10.7109375" customWidth="1"/>
    <col min="770" max="770" width="17.42578125" bestFit="1" customWidth="1"/>
    <col min="771" max="771" width="10.7109375" customWidth="1"/>
    <col min="772" max="772" width="18.42578125" customWidth="1"/>
    <col min="773" max="773" width="13.42578125" customWidth="1"/>
    <col min="774" max="1022" width="8.7109375" customWidth="1"/>
    <col min="1023" max="1023" width="26.140625" customWidth="1"/>
    <col min="1024" max="1024" width="17.42578125" bestFit="1" customWidth="1"/>
    <col min="1025" max="1025" width="10.7109375" customWidth="1"/>
    <col min="1026" max="1026" width="17.42578125" bestFit="1" customWidth="1"/>
    <col min="1027" max="1027" width="10.7109375" customWidth="1"/>
    <col min="1028" max="1028" width="18.42578125" customWidth="1"/>
    <col min="1029" max="1029" width="13.42578125" customWidth="1"/>
    <col min="1030" max="1278" width="8.7109375" customWidth="1"/>
    <col min="1279" max="1279" width="26.140625" customWidth="1"/>
    <col min="1280" max="1280" width="17.42578125" bestFit="1" customWidth="1"/>
    <col min="1281" max="1281" width="10.7109375" customWidth="1"/>
    <col min="1282" max="1282" width="17.42578125" bestFit="1" customWidth="1"/>
    <col min="1283" max="1283" width="10.7109375" customWidth="1"/>
    <col min="1284" max="1284" width="18.42578125" customWidth="1"/>
    <col min="1285" max="1285" width="13.42578125" customWidth="1"/>
    <col min="1286" max="1534" width="8.7109375" customWidth="1"/>
    <col min="1535" max="1535" width="26.140625" customWidth="1"/>
    <col min="1536" max="1536" width="17.42578125" bestFit="1" customWidth="1"/>
    <col min="1537" max="1537" width="10.7109375" customWidth="1"/>
    <col min="1538" max="1538" width="17.42578125" bestFit="1" customWidth="1"/>
    <col min="1539" max="1539" width="10.7109375" customWidth="1"/>
    <col min="1540" max="1540" width="18.42578125" customWidth="1"/>
    <col min="1541" max="1541" width="13.42578125" customWidth="1"/>
    <col min="1542" max="1790" width="8.7109375" customWidth="1"/>
    <col min="1791" max="1791" width="26.140625" customWidth="1"/>
    <col min="1792" max="1792" width="17.42578125" bestFit="1" customWidth="1"/>
    <col min="1793" max="1793" width="10.7109375" customWidth="1"/>
    <col min="1794" max="1794" width="17.42578125" bestFit="1" customWidth="1"/>
    <col min="1795" max="1795" width="10.7109375" customWidth="1"/>
    <col min="1796" max="1796" width="18.42578125" customWidth="1"/>
    <col min="1797" max="1797" width="13.42578125" customWidth="1"/>
    <col min="1798" max="2046" width="8.7109375" customWidth="1"/>
    <col min="2047" max="2047" width="26.140625" customWidth="1"/>
    <col min="2048" max="2048" width="17.42578125" bestFit="1" customWidth="1"/>
    <col min="2049" max="2049" width="10.7109375" customWidth="1"/>
    <col min="2050" max="2050" width="17.42578125" bestFit="1" customWidth="1"/>
    <col min="2051" max="2051" width="10.7109375" customWidth="1"/>
    <col min="2052" max="2052" width="18.42578125" customWidth="1"/>
    <col min="2053" max="2053" width="13.42578125" customWidth="1"/>
    <col min="2054" max="2302" width="8.7109375" customWidth="1"/>
    <col min="2303" max="2303" width="26.140625" customWidth="1"/>
    <col min="2304" max="2304" width="17.42578125" bestFit="1" customWidth="1"/>
    <col min="2305" max="2305" width="10.7109375" customWidth="1"/>
    <col min="2306" max="2306" width="17.42578125" bestFit="1" customWidth="1"/>
    <col min="2307" max="2307" width="10.7109375" customWidth="1"/>
    <col min="2308" max="2308" width="18.42578125" customWidth="1"/>
    <col min="2309" max="2309" width="13.42578125" customWidth="1"/>
    <col min="2310" max="2558" width="8.7109375" customWidth="1"/>
    <col min="2559" max="2559" width="26.140625" customWidth="1"/>
    <col min="2560" max="2560" width="17.42578125" bestFit="1" customWidth="1"/>
    <col min="2561" max="2561" width="10.7109375" customWidth="1"/>
    <col min="2562" max="2562" width="17.42578125" bestFit="1" customWidth="1"/>
    <col min="2563" max="2563" width="10.7109375" customWidth="1"/>
    <col min="2564" max="2564" width="18.42578125" customWidth="1"/>
    <col min="2565" max="2565" width="13.42578125" customWidth="1"/>
    <col min="2566" max="2814" width="8.7109375" customWidth="1"/>
    <col min="2815" max="2815" width="26.140625" customWidth="1"/>
    <col min="2816" max="2816" width="17.42578125" bestFit="1" customWidth="1"/>
    <col min="2817" max="2817" width="10.7109375" customWidth="1"/>
    <col min="2818" max="2818" width="17.42578125" bestFit="1" customWidth="1"/>
    <col min="2819" max="2819" width="10.7109375" customWidth="1"/>
    <col min="2820" max="2820" width="18.42578125" customWidth="1"/>
    <col min="2821" max="2821" width="13.42578125" customWidth="1"/>
    <col min="2822" max="3070" width="8.7109375" customWidth="1"/>
    <col min="3071" max="3071" width="26.140625" customWidth="1"/>
    <col min="3072" max="3072" width="17.42578125" bestFit="1" customWidth="1"/>
    <col min="3073" max="3073" width="10.7109375" customWidth="1"/>
    <col min="3074" max="3074" width="17.42578125" bestFit="1" customWidth="1"/>
    <col min="3075" max="3075" width="10.7109375" customWidth="1"/>
    <col min="3076" max="3076" width="18.42578125" customWidth="1"/>
    <col min="3077" max="3077" width="13.42578125" customWidth="1"/>
    <col min="3078" max="3326" width="8.7109375" customWidth="1"/>
    <col min="3327" max="3327" width="26.140625" customWidth="1"/>
    <col min="3328" max="3328" width="17.42578125" bestFit="1" customWidth="1"/>
    <col min="3329" max="3329" width="10.7109375" customWidth="1"/>
    <col min="3330" max="3330" width="17.42578125" bestFit="1" customWidth="1"/>
    <col min="3331" max="3331" width="10.7109375" customWidth="1"/>
    <col min="3332" max="3332" width="18.42578125" customWidth="1"/>
    <col min="3333" max="3333" width="13.42578125" customWidth="1"/>
    <col min="3334" max="3582" width="8.7109375" customWidth="1"/>
    <col min="3583" max="3583" width="26.140625" customWidth="1"/>
    <col min="3584" max="3584" width="17.42578125" bestFit="1" customWidth="1"/>
    <col min="3585" max="3585" width="10.7109375" customWidth="1"/>
    <col min="3586" max="3586" width="17.42578125" bestFit="1" customWidth="1"/>
    <col min="3587" max="3587" width="10.7109375" customWidth="1"/>
    <col min="3588" max="3588" width="18.42578125" customWidth="1"/>
    <col min="3589" max="3589" width="13.42578125" customWidth="1"/>
    <col min="3590" max="3838" width="8.7109375" customWidth="1"/>
    <col min="3839" max="3839" width="26.140625" customWidth="1"/>
    <col min="3840" max="3840" width="17.42578125" bestFit="1" customWidth="1"/>
    <col min="3841" max="3841" width="10.7109375" customWidth="1"/>
    <col min="3842" max="3842" width="17.42578125" bestFit="1" customWidth="1"/>
    <col min="3843" max="3843" width="10.7109375" customWidth="1"/>
    <col min="3844" max="3844" width="18.42578125" customWidth="1"/>
    <col min="3845" max="3845" width="13.42578125" customWidth="1"/>
    <col min="3846" max="4094" width="8.7109375" customWidth="1"/>
    <col min="4095" max="4095" width="26.140625" customWidth="1"/>
    <col min="4096" max="4096" width="17.42578125" bestFit="1" customWidth="1"/>
    <col min="4097" max="4097" width="10.7109375" customWidth="1"/>
    <col min="4098" max="4098" width="17.42578125" bestFit="1" customWidth="1"/>
    <col min="4099" max="4099" width="10.7109375" customWidth="1"/>
    <col min="4100" max="4100" width="18.42578125" customWidth="1"/>
    <col min="4101" max="4101" width="13.42578125" customWidth="1"/>
    <col min="4102" max="4350" width="8.7109375" customWidth="1"/>
    <col min="4351" max="4351" width="26.140625" customWidth="1"/>
    <col min="4352" max="4352" width="17.42578125" bestFit="1" customWidth="1"/>
    <col min="4353" max="4353" width="10.7109375" customWidth="1"/>
    <col min="4354" max="4354" width="17.42578125" bestFit="1" customWidth="1"/>
    <col min="4355" max="4355" width="10.7109375" customWidth="1"/>
    <col min="4356" max="4356" width="18.42578125" customWidth="1"/>
    <col min="4357" max="4357" width="13.42578125" customWidth="1"/>
    <col min="4358" max="4606" width="8.7109375" customWidth="1"/>
    <col min="4607" max="4607" width="26.140625" customWidth="1"/>
    <col min="4608" max="4608" width="17.42578125" bestFit="1" customWidth="1"/>
    <col min="4609" max="4609" width="10.7109375" customWidth="1"/>
    <col min="4610" max="4610" width="17.42578125" bestFit="1" customWidth="1"/>
    <col min="4611" max="4611" width="10.7109375" customWidth="1"/>
    <col min="4612" max="4612" width="18.42578125" customWidth="1"/>
    <col min="4613" max="4613" width="13.42578125" customWidth="1"/>
    <col min="4614" max="4862" width="8.7109375" customWidth="1"/>
    <col min="4863" max="4863" width="26.140625" customWidth="1"/>
    <col min="4864" max="4864" width="17.42578125" bestFit="1" customWidth="1"/>
    <col min="4865" max="4865" width="10.7109375" customWidth="1"/>
    <col min="4866" max="4866" width="17.42578125" bestFit="1" customWidth="1"/>
    <col min="4867" max="4867" width="10.7109375" customWidth="1"/>
    <col min="4868" max="4868" width="18.42578125" customWidth="1"/>
    <col min="4869" max="4869" width="13.42578125" customWidth="1"/>
    <col min="4870" max="5118" width="8.7109375" customWidth="1"/>
    <col min="5119" max="5119" width="26.140625" customWidth="1"/>
    <col min="5120" max="5120" width="17.42578125" bestFit="1" customWidth="1"/>
    <col min="5121" max="5121" width="10.7109375" customWidth="1"/>
    <col min="5122" max="5122" width="17.42578125" bestFit="1" customWidth="1"/>
    <col min="5123" max="5123" width="10.7109375" customWidth="1"/>
    <col min="5124" max="5124" width="18.42578125" customWidth="1"/>
    <col min="5125" max="5125" width="13.42578125" customWidth="1"/>
    <col min="5126" max="5374" width="8.7109375" customWidth="1"/>
    <col min="5375" max="5375" width="26.140625" customWidth="1"/>
    <col min="5376" max="5376" width="17.42578125" bestFit="1" customWidth="1"/>
    <col min="5377" max="5377" width="10.7109375" customWidth="1"/>
    <col min="5378" max="5378" width="17.42578125" bestFit="1" customWidth="1"/>
    <col min="5379" max="5379" width="10.7109375" customWidth="1"/>
    <col min="5380" max="5380" width="18.42578125" customWidth="1"/>
    <col min="5381" max="5381" width="13.42578125" customWidth="1"/>
    <col min="5382" max="5630" width="8.7109375" customWidth="1"/>
    <col min="5631" max="5631" width="26.140625" customWidth="1"/>
    <col min="5632" max="5632" width="17.42578125" bestFit="1" customWidth="1"/>
    <col min="5633" max="5633" width="10.7109375" customWidth="1"/>
    <col min="5634" max="5634" width="17.42578125" bestFit="1" customWidth="1"/>
    <col min="5635" max="5635" width="10.7109375" customWidth="1"/>
    <col min="5636" max="5636" width="18.42578125" customWidth="1"/>
    <col min="5637" max="5637" width="13.42578125" customWidth="1"/>
    <col min="5638" max="5886" width="8.7109375" customWidth="1"/>
    <col min="5887" max="5887" width="26.140625" customWidth="1"/>
    <col min="5888" max="5888" width="17.42578125" bestFit="1" customWidth="1"/>
    <col min="5889" max="5889" width="10.7109375" customWidth="1"/>
    <col min="5890" max="5890" width="17.42578125" bestFit="1" customWidth="1"/>
    <col min="5891" max="5891" width="10.7109375" customWidth="1"/>
    <col min="5892" max="5892" width="18.42578125" customWidth="1"/>
    <col min="5893" max="5893" width="13.42578125" customWidth="1"/>
    <col min="5894" max="6142" width="8.7109375" customWidth="1"/>
    <col min="6143" max="6143" width="26.140625" customWidth="1"/>
    <col min="6144" max="6144" width="17.42578125" bestFit="1" customWidth="1"/>
    <col min="6145" max="6145" width="10.7109375" customWidth="1"/>
    <col min="6146" max="6146" width="17.42578125" bestFit="1" customWidth="1"/>
    <col min="6147" max="6147" width="10.7109375" customWidth="1"/>
    <col min="6148" max="6148" width="18.42578125" customWidth="1"/>
    <col min="6149" max="6149" width="13.42578125" customWidth="1"/>
    <col min="6150" max="6398" width="8.7109375" customWidth="1"/>
    <col min="6399" max="6399" width="26.140625" customWidth="1"/>
    <col min="6400" max="6400" width="17.42578125" bestFit="1" customWidth="1"/>
    <col min="6401" max="6401" width="10.7109375" customWidth="1"/>
    <col min="6402" max="6402" width="17.42578125" bestFit="1" customWidth="1"/>
    <col min="6403" max="6403" width="10.7109375" customWidth="1"/>
    <col min="6404" max="6404" width="18.42578125" customWidth="1"/>
    <col min="6405" max="6405" width="13.42578125" customWidth="1"/>
    <col min="6406" max="6654" width="8.7109375" customWidth="1"/>
    <col min="6655" max="6655" width="26.140625" customWidth="1"/>
    <col min="6656" max="6656" width="17.42578125" bestFit="1" customWidth="1"/>
    <col min="6657" max="6657" width="10.7109375" customWidth="1"/>
    <col min="6658" max="6658" width="17.42578125" bestFit="1" customWidth="1"/>
    <col min="6659" max="6659" width="10.7109375" customWidth="1"/>
    <col min="6660" max="6660" width="18.42578125" customWidth="1"/>
    <col min="6661" max="6661" width="13.42578125" customWidth="1"/>
    <col min="6662" max="6910" width="8.7109375" customWidth="1"/>
    <col min="6911" max="6911" width="26.140625" customWidth="1"/>
    <col min="6912" max="6912" width="17.42578125" bestFit="1" customWidth="1"/>
    <col min="6913" max="6913" width="10.7109375" customWidth="1"/>
    <col min="6914" max="6914" width="17.42578125" bestFit="1" customWidth="1"/>
    <col min="6915" max="6915" width="10.7109375" customWidth="1"/>
    <col min="6916" max="6916" width="18.42578125" customWidth="1"/>
    <col min="6917" max="6917" width="13.42578125" customWidth="1"/>
    <col min="6918" max="7166" width="8.7109375" customWidth="1"/>
    <col min="7167" max="7167" width="26.140625" customWidth="1"/>
    <col min="7168" max="7168" width="17.42578125" bestFit="1" customWidth="1"/>
    <col min="7169" max="7169" width="10.7109375" customWidth="1"/>
    <col min="7170" max="7170" width="17.42578125" bestFit="1" customWidth="1"/>
    <col min="7171" max="7171" width="10.7109375" customWidth="1"/>
    <col min="7172" max="7172" width="18.42578125" customWidth="1"/>
    <col min="7173" max="7173" width="13.42578125" customWidth="1"/>
    <col min="7174" max="7422" width="8.7109375" customWidth="1"/>
    <col min="7423" max="7423" width="26.140625" customWidth="1"/>
    <col min="7424" max="7424" width="17.42578125" bestFit="1" customWidth="1"/>
    <col min="7425" max="7425" width="10.7109375" customWidth="1"/>
    <col min="7426" max="7426" width="17.42578125" bestFit="1" customWidth="1"/>
    <col min="7427" max="7427" width="10.7109375" customWidth="1"/>
    <col min="7428" max="7428" width="18.42578125" customWidth="1"/>
    <col min="7429" max="7429" width="13.42578125" customWidth="1"/>
    <col min="7430" max="7678" width="8.7109375" customWidth="1"/>
    <col min="7679" max="7679" width="26.140625" customWidth="1"/>
    <col min="7680" max="7680" width="17.42578125" bestFit="1" customWidth="1"/>
    <col min="7681" max="7681" width="10.7109375" customWidth="1"/>
    <col min="7682" max="7682" width="17.42578125" bestFit="1" customWidth="1"/>
    <col min="7683" max="7683" width="10.7109375" customWidth="1"/>
    <col min="7684" max="7684" width="18.42578125" customWidth="1"/>
    <col min="7685" max="7685" width="13.42578125" customWidth="1"/>
    <col min="7686" max="7934" width="8.7109375" customWidth="1"/>
    <col min="7935" max="7935" width="26.140625" customWidth="1"/>
    <col min="7936" max="7936" width="17.42578125" bestFit="1" customWidth="1"/>
    <col min="7937" max="7937" width="10.7109375" customWidth="1"/>
    <col min="7938" max="7938" width="17.42578125" bestFit="1" customWidth="1"/>
    <col min="7939" max="7939" width="10.7109375" customWidth="1"/>
    <col min="7940" max="7940" width="18.42578125" customWidth="1"/>
    <col min="7941" max="7941" width="13.42578125" customWidth="1"/>
    <col min="7942" max="8190" width="8.7109375" customWidth="1"/>
    <col min="8191" max="8191" width="26.140625" customWidth="1"/>
    <col min="8192" max="8192" width="17.42578125" bestFit="1" customWidth="1"/>
    <col min="8193" max="8193" width="10.7109375" customWidth="1"/>
    <col min="8194" max="8194" width="17.42578125" bestFit="1" customWidth="1"/>
    <col min="8195" max="8195" width="10.7109375" customWidth="1"/>
    <col min="8196" max="8196" width="18.42578125" customWidth="1"/>
    <col min="8197" max="8197" width="13.42578125" customWidth="1"/>
    <col min="8198" max="8446" width="8.7109375" customWidth="1"/>
    <col min="8447" max="8447" width="26.140625" customWidth="1"/>
    <col min="8448" max="8448" width="17.42578125" bestFit="1" customWidth="1"/>
    <col min="8449" max="8449" width="10.7109375" customWidth="1"/>
    <col min="8450" max="8450" width="17.42578125" bestFit="1" customWidth="1"/>
    <col min="8451" max="8451" width="10.7109375" customWidth="1"/>
    <col min="8452" max="8452" width="18.42578125" customWidth="1"/>
    <col min="8453" max="8453" width="13.42578125" customWidth="1"/>
    <col min="8454" max="8702" width="8.7109375" customWidth="1"/>
    <col min="8703" max="8703" width="26.140625" customWidth="1"/>
    <col min="8704" max="8704" width="17.42578125" bestFit="1" customWidth="1"/>
    <col min="8705" max="8705" width="10.7109375" customWidth="1"/>
    <col min="8706" max="8706" width="17.42578125" bestFit="1" customWidth="1"/>
    <col min="8707" max="8707" width="10.7109375" customWidth="1"/>
    <col min="8708" max="8708" width="18.42578125" customWidth="1"/>
    <col min="8709" max="8709" width="13.42578125" customWidth="1"/>
    <col min="8710" max="8958" width="8.7109375" customWidth="1"/>
    <col min="8959" max="8959" width="26.140625" customWidth="1"/>
    <col min="8960" max="8960" width="17.42578125" bestFit="1" customWidth="1"/>
    <col min="8961" max="8961" width="10.7109375" customWidth="1"/>
    <col min="8962" max="8962" width="17.42578125" bestFit="1" customWidth="1"/>
    <col min="8963" max="8963" width="10.7109375" customWidth="1"/>
    <col min="8964" max="8964" width="18.42578125" customWidth="1"/>
    <col min="8965" max="8965" width="13.42578125" customWidth="1"/>
    <col min="8966" max="9214" width="8.7109375" customWidth="1"/>
    <col min="9215" max="9215" width="26.140625" customWidth="1"/>
    <col min="9216" max="9216" width="17.42578125" bestFit="1" customWidth="1"/>
    <col min="9217" max="9217" width="10.7109375" customWidth="1"/>
    <col min="9218" max="9218" width="17.42578125" bestFit="1" customWidth="1"/>
    <col min="9219" max="9219" width="10.7109375" customWidth="1"/>
    <col min="9220" max="9220" width="18.42578125" customWidth="1"/>
    <col min="9221" max="9221" width="13.42578125" customWidth="1"/>
    <col min="9222" max="9470" width="8.7109375" customWidth="1"/>
    <col min="9471" max="9471" width="26.140625" customWidth="1"/>
    <col min="9472" max="9472" width="17.42578125" bestFit="1" customWidth="1"/>
    <col min="9473" max="9473" width="10.7109375" customWidth="1"/>
    <col min="9474" max="9474" width="17.42578125" bestFit="1" customWidth="1"/>
    <col min="9475" max="9475" width="10.7109375" customWidth="1"/>
    <col min="9476" max="9476" width="18.42578125" customWidth="1"/>
    <col min="9477" max="9477" width="13.42578125" customWidth="1"/>
    <col min="9478" max="9726" width="8.7109375" customWidth="1"/>
    <col min="9727" max="9727" width="26.140625" customWidth="1"/>
    <col min="9728" max="9728" width="17.42578125" bestFit="1" customWidth="1"/>
    <col min="9729" max="9729" width="10.7109375" customWidth="1"/>
    <col min="9730" max="9730" width="17.42578125" bestFit="1" customWidth="1"/>
    <col min="9731" max="9731" width="10.7109375" customWidth="1"/>
    <col min="9732" max="9732" width="18.42578125" customWidth="1"/>
    <col min="9733" max="9733" width="13.42578125" customWidth="1"/>
    <col min="9734" max="9982" width="8.7109375" customWidth="1"/>
    <col min="9983" max="9983" width="26.140625" customWidth="1"/>
    <col min="9984" max="9984" width="17.42578125" bestFit="1" customWidth="1"/>
    <col min="9985" max="9985" width="10.7109375" customWidth="1"/>
    <col min="9986" max="9986" width="17.42578125" bestFit="1" customWidth="1"/>
    <col min="9987" max="9987" width="10.7109375" customWidth="1"/>
    <col min="9988" max="9988" width="18.42578125" customWidth="1"/>
    <col min="9989" max="9989" width="13.42578125" customWidth="1"/>
    <col min="9990" max="10238" width="8.7109375" customWidth="1"/>
    <col min="10239" max="10239" width="26.140625" customWidth="1"/>
    <col min="10240" max="10240" width="17.42578125" bestFit="1" customWidth="1"/>
    <col min="10241" max="10241" width="10.7109375" customWidth="1"/>
    <col min="10242" max="10242" width="17.42578125" bestFit="1" customWidth="1"/>
    <col min="10243" max="10243" width="10.7109375" customWidth="1"/>
    <col min="10244" max="10244" width="18.42578125" customWidth="1"/>
    <col min="10245" max="10245" width="13.42578125" customWidth="1"/>
    <col min="10246" max="10494" width="8.7109375" customWidth="1"/>
    <col min="10495" max="10495" width="26.140625" customWidth="1"/>
    <col min="10496" max="10496" width="17.42578125" bestFit="1" customWidth="1"/>
    <col min="10497" max="10497" width="10.7109375" customWidth="1"/>
    <col min="10498" max="10498" width="17.42578125" bestFit="1" customWidth="1"/>
    <col min="10499" max="10499" width="10.7109375" customWidth="1"/>
    <col min="10500" max="10500" width="18.42578125" customWidth="1"/>
    <col min="10501" max="10501" width="13.42578125" customWidth="1"/>
    <col min="10502" max="10750" width="8.7109375" customWidth="1"/>
    <col min="10751" max="10751" width="26.140625" customWidth="1"/>
    <col min="10752" max="10752" width="17.42578125" bestFit="1" customWidth="1"/>
    <col min="10753" max="10753" width="10.7109375" customWidth="1"/>
    <col min="10754" max="10754" width="17.42578125" bestFit="1" customWidth="1"/>
    <col min="10755" max="10755" width="10.7109375" customWidth="1"/>
    <col min="10756" max="10756" width="18.42578125" customWidth="1"/>
    <col min="10757" max="10757" width="13.42578125" customWidth="1"/>
    <col min="10758" max="11006" width="8.7109375" customWidth="1"/>
    <col min="11007" max="11007" width="26.140625" customWidth="1"/>
    <col min="11008" max="11008" width="17.42578125" bestFit="1" customWidth="1"/>
    <col min="11009" max="11009" width="10.7109375" customWidth="1"/>
    <col min="11010" max="11010" width="17.42578125" bestFit="1" customWidth="1"/>
    <col min="11011" max="11011" width="10.7109375" customWidth="1"/>
    <col min="11012" max="11012" width="18.42578125" customWidth="1"/>
    <col min="11013" max="11013" width="13.42578125" customWidth="1"/>
    <col min="11014" max="11262" width="8.7109375" customWidth="1"/>
    <col min="11263" max="11263" width="26.140625" customWidth="1"/>
    <col min="11264" max="11264" width="17.42578125" bestFit="1" customWidth="1"/>
    <col min="11265" max="11265" width="10.7109375" customWidth="1"/>
    <col min="11266" max="11266" width="17.42578125" bestFit="1" customWidth="1"/>
    <col min="11267" max="11267" width="10.7109375" customWidth="1"/>
    <col min="11268" max="11268" width="18.42578125" customWidth="1"/>
    <col min="11269" max="11269" width="13.42578125" customWidth="1"/>
    <col min="11270" max="11518" width="8.7109375" customWidth="1"/>
    <col min="11519" max="11519" width="26.140625" customWidth="1"/>
    <col min="11520" max="11520" width="17.42578125" bestFit="1" customWidth="1"/>
    <col min="11521" max="11521" width="10.7109375" customWidth="1"/>
    <col min="11522" max="11522" width="17.42578125" bestFit="1" customWidth="1"/>
    <col min="11523" max="11523" width="10.7109375" customWidth="1"/>
    <col min="11524" max="11524" width="18.42578125" customWidth="1"/>
    <col min="11525" max="11525" width="13.42578125" customWidth="1"/>
    <col min="11526" max="11774" width="8.7109375" customWidth="1"/>
    <col min="11775" max="11775" width="26.140625" customWidth="1"/>
    <col min="11776" max="11776" width="17.42578125" bestFit="1" customWidth="1"/>
    <col min="11777" max="11777" width="10.7109375" customWidth="1"/>
    <col min="11778" max="11778" width="17.42578125" bestFit="1" customWidth="1"/>
    <col min="11779" max="11779" width="10.7109375" customWidth="1"/>
    <col min="11780" max="11780" width="18.42578125" customWidth="1"/>
    <col min="11781" max="11781" width="13.42578125" customWidth="1"/>
    <col min="11782" max="12030" width="8.7109375" customWidth="1"/>
    <col min="12031" max="12031" width="26.140625" customWidth="1"/>
    <col min="12032" max="12032" width="17.42578125" bestFit="1" customWidth="1"/>
    <col min="12033" max="12033" width="10.7109375" customWidth="1"/>
    <col min="12034" max="12034" width="17.42578125" bestFit="1" customWidth="1"/>
    <col min="12035" max="12035" width="10.7109375" customWidth="1"/>
    <col min="12036" max="12036" width="18.42578125" customWidth="1"/>
    <col min="12037" max="12037" width="13.42578125" customWidth="1"/>
    <col min="12038" max="12286" width="8.7109375" customWidth="1"/>
    <col min="12287" max="12287" width="26.140625" customWidth="1"/>
    <col min="12288" max="12288" width="17.42578125" bestFit="1" customWidth="1"/>
    <col min="12289" max="12289" width="10.7109375" customWidth="1"/>
    <col min="12290" max="12290" width="17.42578125" bestFit="1" customWidth="1"/>
    <col min="12291" max="12291" width="10.7109375" customWidth="1"/>
    <col min="12292" max="12292" width="18.42578125" customWidth="1"/>
    <col min="12293" max="12293" width="13.42578125" customWidth="1"/>
    <col min="12294" max="12542" width="8.7109375" customWidth="1"/>
    <col min="12543" max="12543" width="26.140625" customWidth="1"/>
    <col min="12544" max="12544" width="17.42578125" bestFit="1" customWidth="1"/>
    <col min="12545" max="12545" width="10.7109375" customWidth="1"/>
    <col min="12546" max="12546" width="17.42578125" bestFit="1" customWidth="1"/>
    <col min="12547" max="12547" width="10.7109375" customWidth="1"/>
    <col min="12548" max="12548" width="18.42578125" customWidth="1"/>
    <col min="12549" max="12549" width="13.42578125" customWidth="1"/>
    <col min="12550" max="12798" width="8.7109375" customWidth="1"/>
    <col min="12799" max="12799" width="26.140625" customWidth="1"/>
    <col min="12800" max="12800" width="17.42578125" bestFit="1" customWidth="1"/>
    <col min="12801" max="12801" width="10.7109375" customWidth="1"/>
    <col min="12802" max="12802" width="17.42578125" bestFit="1" customWidth="1"/>
    <col min="12803" max="12803" width="10.7109375" customWidth="1"/>
    <col min="12804" max="12804" width="18.42578125" customWidth="1"/>
    <col min="12805" max="12805" width="13.42578125" customWidth="1"/>
    <col min="12806" max="13054" width="8.7109375" customWidth="1"/>
    <col min="13055" max="13055" width="26.140625" customWidth="1"/>
    <col min="13056" max="13056" width="17.42578125" bestFit="1" customWidth="1"/>
    <col min="13057" max="13057" width="10.7109375" customWidth="1"/>
    <col min="13058" max="13058" width="17.42578125" bestFit="1" customWidth="1"/>
    <col min="13059" max="13059" width="10.7109375" customWidth="1"/>
    <col min="13060" max="13060" width="18.42578125" customWidth="1"/>
    <col min="13061" max="13061" width="13.42578125" customWidth="1"/>
    <col min="13062" max="13310" width="8.7109375" customWidth="1"/>
    <col min="13311" max="13311" width="26.140625" customWidth="1"/>
    <col min="13312" max="13312" width="17.42578125" bestFit="1" customWidth="1"/>
    <col min="13313" max="13313" width="10.7109375" customWidth="1"/>
    <col min="13314" max="13314" width="17.42578125" bestFit="1" customWidth="1"/>
    <col min="13315" max="13315" width="10.7109375" customWidth="1"/>
    <col min="13316" max="13316" width="18.42578125" customWidth="1"/>
    <col min="13317" max="13317" width="13.42578125" customWidth="1"/>
    <col min="13318" max="13566" width="8.7109375" customWidth="1"/>
    <col min="13567" max="13567" width="26.140625" customWidth="1"/>
    <col min="13568" max="13568" width="17.42578125" bestFit="1" customWidth="1"/>
    <col min="13569" max="13569" width="10.7109375" customWidth="1"/>
    <col min="13570" max="13570" width="17.42578125" bestFit="1" customWidth="1"/>
    <col min="13571" max="13571" width="10.7109375" customWidth="1"/>
    <col min="13572" max="13572" width="18.42578125" customWidth="1"/>
    <col min="13573" max="13573" width="13.42578125" customWidth="1"/>
    <col min="13574" max="13822" width="8.7109375" customWidth="1"/>
    <col min="13823" max="13823" width="26.140625" customWidth="1"/>
    <col min="13824" max="13824" width="17.42578125" bestFit="1" customWidth="1"/>
    <col min="13825" max="13825" width="10.7109375" customWidth="1"/>
    <col min="13826" max="13826" width="17.42578125" bestFit="1" customWidth="1"/>
    <col min="13827" max="13827" width="10.7109375" customWidth="1"/>
    <col min="13828" max="13828" width="18.42578125" customWidth="1"/>
    <col min="13829" max="13829" width="13.42578125" customWidth="1"/>
    <col min="13830" max="14078" width="8.7109375" customWidth="1"/>
    <col min="14079" max="14079" width="26.140625" customWidth="1"/>
    <col min="14080" max="14080" width="17.42578125" bestFit="1" customWidth="1"/>
    <col min="14081" max="14081" width="10.7109375" customWidth="1"/>
    <col min="14082" max="14082" width="17.42578125" bestFit="1" customWidth="1"/>
    <col min="14083" max="14083" width="10.7109375" customWidth="1"/>
    <col min="14084" max="14084" width="18.42578125" customWidth="1"/>
    <col min="14085" max="14085" width="13.42578125" customWidth="1"/>
    <col min="14086" max="14334" width="8.7109375" customWidth="1"/>
    <col min="14335" max="14335" width="26.140625" customWidth="1"/>
    <col min="14336" max="14336" width="17.42578125" bestFit="1" customWidth="1"/>
    <col min="14337" max="14337" width="10.7109375" customWidth="1"/>
    <col min="14338" max="14338" width="17.42578125" bestFit="1" customWidth="1"/>
    <col min="14339" max="14339" width="10.7109375" customWidth="1"/>
    <col min="14340" max="14340" width="18.42578125" customWidth="1"/>
    <col min="14341" max="14341" width="13.42578125" customWidth="1"/>
    <col min="14342" max="14590" width="8.7109375" customWidth="1"/>
    <col min="14591" max="14591" width="26.140625" customWidth="1"/>
    <col min="14592" max="14592" width="17.42578125" bestFit="1" customWidth="1"/>
    <col min="14593" max="14593" width="10.7109375" customWidth="1"/>
    <col min="14594" max="14594" width="17.42578125" bestFit="1" customWidth="1"/>
    <col min="14595" max="14595" width="10.7109375" customWidth="1"/>
    <col min="14596" max="14596" width="18.42578125" customWidth="1"/>
    <col min="14597" max="14597" width="13.42578125" customWidth="1"/>
    <col min="14598" max="14846" width="8.7109375" customWidth="1"/>
    <col min="14847" max="14847" width="26.140625" customWidth="1"/>
    <col min="14848" max="14848" width="17.42578125" bestFit="1" customWidth="1"/>
    <col min="14849" max="14849" width="10.7109375" customWidth="1"/>
    <col min="14850" max="14850" width="17.42578125" bestFit="1" customWidth="1"/>
    <col min="14851" max="14851" width="10.7109375" customWidth="1"/>
    <col min="14852" max="14852" width="18.42578125" customWidth="1"/>
    <col min="14853" max="14853" width="13.42578125" customWidth="1"/>
    <col min="14854" max="15102" width="8.7109375" customWidth="1"/>
    <col min="15103" max="15103" width="26.140625" customWidth="1"/>
    <col min="15104" max="15104" width="17.42578125" bestFit="1" customWidth="1"/>
    <col min="15105" max="15105" width="10.7109375" customWidth="1"/>
    <col min="15106" max="15106" width="17.42578125" bestFit="1" customWidth="1"/>
    <col min="15107" max="15107" width="10.7109375" customWidth="1"/>
    <col min="15108" max="15108" width="18.42578125" customWidth="1"/>
    <col min="15109" max="15109" width="13.42578125" customWidth="1"/>
    <col min="15110" max="15358" width="8.7109375" customWidth="1"/>
    <col min="15359" max="15359" width="26.140625" customWidth="1"/>
    <col min="15360" max="15360" width="17.42578125" bestFit="1" customWidth="1"/>
    <col min="15361" max="15361" width="10.7109375" customWidth="1"/>
    <col min="15362" max="15362" width="17.42578125" bestFit="1" customWidth="1"/>
    <col min="15363" max="15363" width="10.7109375" customWidth="1"/>
    <col min="15364" max="15364" width="18.42578125" customWidth="1"/>
    <col min="15365" max="15365" width="13.42578125" customWidth="1"/>
    <col min="15366" max="15614" width="8.7109375" customWidth="1"/>
    <col min="15615" max="15615" width="26.140625" customWidth="1"/>
    <col min="15616" max="15616" width="17.42578125" bestFit="1" customWidth="1"/>
    <col min="15617" max="15617" width="10.7109375" customWidth="1"/>
    <col min="15618" max="15618" width="17.42578125" bestFit="1" customWidth="1"/>
    <col min="15619" max="15619" width="10.7109375" customWidth="1"/>
    <col min="15620" max="15620" width="18.42578125" customWidth="1"/>
    <col min="15621" max="15621" width="13.42578125" customWidth="1"/>
    <col min="15622" max="15870" width="8.7109375" customWidth="1"/>
    <col min="15871" max="15871" width="26.140625" customWidth="1"/>
    <col min="15872" max="15872" width="17.42578125" bestFit="1" customWidth="1"/>
    <col min="15873" max="15873" width="10.7109375" customWidth="1"/>
    <col min="15874" max="15874" width="17.42578125" bestFit="1" customWidth="1"/>
    <col min="15875" max="15875" width="10.7109375" customWidth="1"/>
    <col min="15876" max="15876" width="18.42578125" customWidth="1"/>
    <col min="15877" max="15877" width="13.42578125" customWidth="1"/>
    <col min="15878" max="16126" width="8.7109375" customWidth="1"/>
    <col min="16127" max="16127" width="26.140625" customWidth="1"/>
    <col min="16128" max="16128" width="17.42578125" bestFit="1" customWidth="1"/>
    <col min="16129" max="16129" width="10.7109375" customWidth="1"/>
    <col min="16130" max="16130" width="17.42578125" bestFit="1" customWidth="1"/>
    <col min="16131" max="16131" width="10.7109375" customWidth="1"/>
    <col min="16132" max="16132" width="18.42578125" customWidth="1"/>
    <col min="16133" max="16133" width="13.42578125" customWidth="1"/>
    <col min="16134" max="16384" width="8.7109375" customWidth="1"/>
  </cols>
  <sheetData>
    <row r="1" spans="1:7" x14ac:dyDescent="0.25">
      <c r="A1" s="1" t="s">
        <v>0</v>
      </c>
      <c r="B1" s="1"/>
      <c r="C1" s="1"/>
      <c r="D1" s="1"/>
    </row>
    <row r="2" spans="1:7" x14ac:dyDescent="0.25">
      <c r="A2" s="1" t="s">
        <v>1</v>
      </c>
      <c r="B2" s="1"/>
      <c r="C2" s="1"/>
      <c r="D2" s="1"/>
    </row>
    <row r="3" spans="1:7" x14ac:dyDescent="0.25">
      <c r="A3" s="1" t="s">
        <v>2</v>
      </c>
      <c r="B3" s="1"/>
      <c r="C3" s="1"/>
      <c r="D3" s="1"/>
    </row>
    <row r="4" spans="1:7" x14ac:dyDescent="0.25">
      <c r="A4" s="3" t="s">
        <v>3</v>
      </c>
      <c r="B4" s="4" t="s">
        <v>4</v>
      </c>
      <c r="D4" s="4" t="s">
        <v>259</v>
      </c>
      <c r="F4" s="49" t="s">
        <v>296</v>
      </c>
      <c r="G4" s="53" t="s">
        <v>332</v>
      </c>
    </row>
    <row r="5" spans="1:7" x14ac:dyDescent="0.25">
      <c r="A5" s="1" t="s">
        <v>5</v>
      </c>
    </row>
    <row r="7" spans="1:7" x14ac:dyDescent="0.25">
      <c r="A7" s="1" t="s">
        <v>210</v>
      </c>
    </row>
    <row r="8" spans="1:7" x14ac:dyDescent="0.25">
      <c r="A8" s="3" t="s">
        <v>295</v>
      </c>
      <c r="G8" s="53">
        <v>114.16</v>
      </c>
    </row>
    <row r="9" spans="1:7" x14ac:dyDescent="0.25">
      <c r="A9" s="3" t="s">
        <v>6</v>
      </c>
      <c r="B9" s="51"/>
      <c r="C9" s="50">
        <v>20369.2</v>
      </c>
      <c r="D9" s="49"/>
      <c r="E9" s="63">
        <v>20094.490000000002</v>
      </c>
      <c r="G9" s="53">
        <v>18791.54</v>
      </c>
    </row>
    <row r="10" spans="1:7" x14ac:dyDescent="0.25">
      <c r="A10" s="3" t="s">
        <v>7</v>
      </c>
      <c r="B10" s="52">
        <v>96.8</v>
      </c>
      <c r="C10" s="53"/>
      <c r="D10" s="49">
        <v>24.35</v>
      </c>
      <c r="E10" s="63"/>
      <c r="F10" s="49">
        <v>1895.99</v>
      </c>
    </row>
    <row r="11" spans="1:7" x14ac:dyDescent="0.25">
      <c r="A11" s="3" t="s">
        <v>8</v>
      </c>
      <c r="B11" s="52">
        <v>4000.77</v>
      </c>
      <c r="C11" s="53"/>
      <c r="D11" s="49">
        <v>5093.99</v>
      </c>
      <c r="E11" s="63"/>
      <c r="F11" s="49">
        <v>4140</v>
      </c>
    </row>
    <row r="12" spans="1:7" x14ac:dyDescent="0.25">
      <c r="A12" s="3" t="s">
        <v>9</v>
      </c>
      <c r="B12" s="51"/>
      <c r="C12" s="50">
        <f>(B10+B11)</f>
        <v>4097.57</v>
      </c>
      <c r="D12" s="49"/>
      <c r="E12" s="63">
        <f>SUM(D10:D11)</f>
        <v>5118.34</v>
      </c>
      <c r="G12" s="53">
        <v>6035.99</v>
      </c>
    </row>
    <row r="13" spans="1:7" x14ac:dyDescent="0.25">
      <c r="A13" s="3" t="s">
        <v>10</v>
      </c>
      <c r="B13" s="51"/>
      <c r="C13" s="50">
        <v>419.34</v>
      </c>
      <c r="D13" s="49"/>
      <c r="E13" s="63">
        <v>218.86</v>
      </c>
      <c r="G13" s="53">
        <v>154</v>
      </c>
    </row>
    <row r="14" spans="1:7" x14ac:dyDescent="0.25">
      <c r="A14" s="3" t="s">
        <v>11</v>
      </c>
      <c r="B14" s="51"/>
      <c r="C14" s="50">
        <v>-95.68</v>
      </c>
      <c r="D14" s="49"/>
      <c r="E14" s="63">
        <v>0</v>
      </c>
      <c r="G14" s="53">
        <v>0</v>
      </c>
    </row>
    <row r="15" spans="1:7" x14ac:dyDescent="0.25">
      <c r="A15" s="3" t="s">
        <v>297</v>
      </c>
      <c r="B15" s="52">
        <v>0</v>
      </c>
      <c r="C15" s="53"/>
      <c r="D15" s="49">
        <v>0</v>
      </c>
      <c r="E15" s="63"/>
      <c r="F15" s="49">
        <v>4498.79</v>
      </c>
    </row>
    <row r="16" spans="1:7" x14ac:dyDescent="0.25">
      <c r="A16" s="3" t="s">
        <v>298</v>
      </c>
      <c r="B16" s="52">
        <v>1211.77</v>
      </c>
      <c r="C16" s="53"/>
      <c r="D16" s="49">
        <v>0</v>
      </c>
      <c r="E16" s="63"/>
      <c r="F16" s="49">
        <v>2529.69</v>
      </c>
    </row>
    <row r="17" spans="1:7" x14ac:dyDescent="0.25">
      <c r="A17" s="3" t="s">
        <v>299</v>
      </c>
      <c r="B17" s="54"/>
      <c r="C17" s="53"/>
      <c r="D17" s="55"/>
      <c r="E17" s="63"/>
      <c r="F17" s="55">
        <v>58</v>
      </c>
    </row>
    <row r="18" spans="1:7" x14ac:dyDescent="0.25">
      <c r="A18" s="3" t="s">
        <v>13</v>
      </c>
      <c r="B18" s="51"/>
      <c r="C18" s="56">
        <f>(B15+B16)</f>
        <v>1211.77</v>
      </c>
      <c r="D18" s="49"/>
      <c r="E18" s="64">
        <f>D15+D16</f>
        <v>0</v>
      </c>
      <c r="G18" s="59">
        <f>SUM(F15:F17)</f>
        <v>7086.48</v>
      </c>
    </row>
    <row r="19" spans="1:7" x14ac:dyDescent="0.25">
      <c r="A19" s="1" t="s">
        <v>14</v>
      </c>
      <c r="B19" s="51"/>
      <c r="C19" s="57">
        <f>SUBTOTAL(9,C6:C18)</f>
        <v>26002.2</v>
      </c>
      <c r="D19" s="49"/>
      <c r="E19" s="65">
        <f>SUBTOTAL(9,E6:E18)</f>
        <v>25431.690000000002</v>
      </c>
      <c r="G19" s="59">
        <f>SUM(G8:G18)</f>
        <v>32182.170000000002</v>
      </c>
    </row>
    <row r="20" spans="1:7" x14ac:dyDescent="0.25">
      <c r="B20" s="49"/>
      <c r="C20" s="53"/>
      <c r="D20" s="49"/>
      <c r="E20" s="63"/>
    </row>
    <row r="21" spans="1:7" x14ac:dyDescent="0.25">
      <c r="A21" s="1" t="s">
        <v>15</v>
      </c>
      <c r="B21" s="49"/>
      <c r="C21" s="53"/>
      <c r="D21" s="49"/>
      <c r="E21" s="63"/>
    </row>
    <row r="22" spans="1:7" x14ac:dyDescent="0.25">
      <c r="A22" s="3" t="s">
        <v>16</v>
      </c>
      <c r="B22" s="52">
        <v>14139.5</v>
      </c>
      <c r="C22" s="53"/>
      <c r="D22" s="49">
        <v>12152.41</v>
      </c>
      <c r="E22" s="63"/>
      <c r="F22" s="49">
        <v>16502.900000000001</v>
      </c>
    </row>
    <row r="23" spans="1:7" x14ac:dyDescent="0.25">
      <c r="A23" s="3" t="s">
        <v>17</v>
      </c>
      <c r="B23" s="52">
        <v>7791.21</v>
      </c>
      <c r="C23" s="53"/>
      <c r="D23" s="49">
        <v>2590.12</v>
      </c>
      <c r="E23" s="63"/>
      <c r="F23" s="49">
        <v>3582.85</v>
      </c>
    </row>
    <row r="24" spans="1:7" x14ac:dyDescent="0.25">
      <c r="A24" s="3" t="s">
        <v>18</v>
      </c>
      <c r="B24" s="52">
        <v>5067.16</v>
      </c>
      <c r="C24" s="53"/>
      <c r="D24" s="49">
        <v>1705.98</v>
      </c>
      <c r="E24" s="63"/>
      <c r="F24" s="49">
        <v>542.85</v>
      </c>
    </row>
    <row r="25" spans="1:7" x14ac:dyDescent="0.25">
      <c r="A25" s="3" t="s">
        <v>19</v>
      </c>
      <c r="B25" s="52">
        <v>6482.06</v>
      </c>
      <c r="C25" s="53"/>
      <c r="D25" s="49">
        <v>3162.87</v>
      </c>
      <c r="E25" s="63"/>
      <c r="F25" s="49">
        <v>0</v>
      </c>
    </row>
    <row r="26" spans="1:7" x14ac:dyDescent="0.25">
      <c r="A26" s="3" t="s">
        <v>20</v>
      </c>
      <c r="B26" s="54">
        <v>-90.42</v>
      </c>
      <c r="C26" s="53"/>
      <c r="D26" s="55">
        <v>-197.69</v>
      </c>
      <c r="E26" s="63"/>
      <c r="F26" s="55">
        <v>0</v>
      </c>
    </row>
    <row r="27" spans="1:7" x14ac:dyDescent="0.25">
      <c r="A27" s="3" t="s">
        <v>21</v>
      </c>
      <c r="B27" s="51"/>
      <c r="C27" s="50">
        <f>(B22+B23+B24+B25+B26)</f>
        <v>33389.51</v>
      </c>
      <c r="D27" s="49"/>
      <c r="E27" s="63">
        <f>SUM(D22:D26)</f>
        <v>19413.689999999999</v>
      </c>
      <c r="G27" s="53">
        <f>SUM(F22:F26)</f>
        <v>20628.599999999999</v>
      </c>
    </row>
    <row r="28" spans="1:7" x14ac:dyDescent="0.25">
      <c r="A28" s="3" t="s">
        <v>22</v>
      </c>
      <c r="B28" s="52">
        <v>10892.66</v>
      </c>
      <c r="C28" s="53"/>
      <c r="D28" s="49">
        <v>3741.44</v>
      </c>
      <c r="E28" s="63"/>
      <c r="F28" s="49">
        <v>2624.29</v>
      </c>
    </row>
    <row r="29" spans="1:7" x14ac:dyDescent="0.25">
      <c r="A29" s="3" t="s">
        <v>23</v>
      </c>
      <c r="B29" s="52">
        <v>14056.63</v>
      </c>
      <c r="C29" s="53"/>
      <c r="D29" s="49">
        <v>9835.74</v>
      </c>
      <c r="E29" s="63"/>
      <c r="F29" s="49">
        <v>6945.01</v>
      </c>
    </row>
    <row r="30" spans="1:7" x14ac:dyDescent="0.25">
      <c r="A30" s="3" t="s">
        <v>24</v>
      </c>
      <c r="B30" s="52">
        <v>6899.37</v>
      </c>
      <c r="C30" s="53"/>
      <c r="D30" s="49">
        <v>9289.99</v>
      </c>
      <c r="E30" s="63"/>
      <c r="F30" s="49">
        <v>4774.72</v>
      </c>
    </row>
    <row r="31" spans="1:7" x14ac:dyDescent="0.25">
      <c r="A31" s="3" t="s">
        <v>25</v>
      </c>
      <c r="B31" s="52">
        <v>5528.03</v>
      </c>
      <c r="C31" s="53"/>
      <c r="D31" s="49">
        <v>2386</v>
      </c>
      <c r="E31" s="63"/>
      <c r="F31" s="49">
        <v>4045.81</v>
      </c>
    </row>
    <row r="32" spans="1:7" x14ac:dyDescent="0.25">
      <c r="A32" s="3" t="s">
        <v>26</v>
      </c>
      <c r="B32" s="52">
        <v>3025.1</v>
      </c>
      <c r="C32" s="53"/>
      <c r="D32" s="49">
        <v>1850</v>
      </c>
      <c r="E32" s="63"/>
      <c r="F32" s="49">
        <v>1000</v>
      </c>
    </row>
    <row r="33" spans="1:7" x14ac:dyDescent="0.25">
      <c r="A33" s="3" t="s">
        <v>27</v>
      </c>
      <c r="B33" s="52">
        <v>4151.67</v>
      </c>
      <c r="C33" s="53"/>
      <c r="D33" s="49">
        <v>2075</v>
      </c>
      <c r="E33" s="63"/>
      <c r="F33" s="49">
        <v>550</v>
      </c>
    </row>
    <row r="34" spans="1:7" x14ac:dyDescent="0.25">
      <c r="A34" s="3" t="s">
        <v>28</v>
      </c>
      <c r="B34" s="52">
        <v>0</v>
      </c>
      <c r="C34" s="53"/>
      <c r="D34" s="49">
        <v>0</v>
      </c>
      <c r="E34" s="63"/>
      <c r="F34" s="49">
        <v>0</v>
      </c>
    </row>
    <row r="35" spans="1:7" x14ac:dyDescent="0.25">
      <c r="A35" s="3" t="s">
        <v>29</v>
      </c>
      <c r="B35" s="52">
        <v>0</v>
      </c>
      <c r="C35" s="53"/>
      <c r="D35" s="49">
        <v>0</v>
      </c>
      <c r="E35" s="63"/>
      <c r="F35" s="49">
        <v>0</v>
      </c>
    </row>
    <row r="36" spans="1:7" x14ac:dyDescent="0.25">
      <c r="A36" s="3" t="s">
        <v>30</v>
      </c>
      <c r="B36" s="54">
        <v>1567.48</v>
      </c>
      <c r="C36" s="53"/>
      <c r="D36" s="55">
        <v>0</v>
      </c>
      <c r="E36" s="63"/>
      <c r="F36" s="55">
        <v>0</v>
      </c>
    </row>
    <row r="37" spans="1:7" x14ac:dyDescent="0.25">
      <c r="A37" s="3" t="s">
        <v>31</v>
      </c>
      <c r="B37" s="51"/>
      <c r="C37" s="50">
        <f>SUM(B28:B36)</f>
        <v>46120.94</v>
      </c>
      <c r="D37" s="49"/>
      <c r="E37" s="63">
        <f>SUM(D28:D36)</f>
        <v>29178.17</v>
      </c>
      <c r="G37" s="53">
        <f>SUM(F28:F36)</f>
        <v>19939.830000000002</v>
      </c>
    </row>
    <row r="38" spans="1:7" x14ac:dyDescent="0.25">
      <c r="A38" s="3" t="s">
        <v>32</v>
      </c>
      <c r="B38" s="54">
        <v>2256.3200000000002</v>
      </c>
      <c r="C38" s="53"/>
      <c r="D38" s="55">
        <v>3784.5</v>
      </c>
      <c r="E38" s="63"/>
      <c r="F38" s="55">
        <v>3654</v>
      </c>
    </row>
    <row r="39" spans="1:7" x14ac:dyDescent="0.25">
      <c r="A39" s="3" t="s">
        <v>33</v>
      </c>
      <c r="B39" s="51"/>
      <c r="C39" s="50">
        <f>(B38)</f>
        <v>2256.3200000000002</v>
      </c>
      <c r="D39" s="49"/>
      <c r="E39" s="63">
        <f>D38</f>
        <v>3784.5</v>
      </c>
      <c r="G39" s="53">
        <f>SUM(F38)</f>
        <v>3654</v>
      </c>
    </row>
    <row r="40" spans="1:7" x14ac:dyDescent="0.25">
      <c r="A40" s="3" t="s">
        <v>34</v>
      </c>
      <c r="B40" s="54">
        <v>1082.7</v>
      </c>
      <c r="C40" s="53"/>
      <c r="D40" s="55">
        <v>4661.93</v>
      </c>
      <c r="E40" s="63"/>
      <c r="F40" s="55">
        <v>0</v>
      </c>
    </row>
    <row r="41" spans="1:7" x14ac:dyDescent="0.25">
      <c r="A41" s="3" t="s">
        <v>35</v>
      </c>
      <c r="B41" s="51"/>
      <c r="C41" s="50">
        <f>(B40)</f>
        <v>1082.7</v>
      </c>
      <c r="D41" s="49"/>
      <c r="E41" s="63">
        <f>D40</f>
        <v>4661.93</v>
      </c>
      <c r="G41" s="53">
        <f>SUM(F40)</f>
        <v>0</v>
      </c>
    </row>
    <row r="42" spans="1:7" x14ac:dyDescent="0.25">
      <c r="A42" s="3" t="s">
        <v>36</v>
      </c>
      <c r="B42" s="52">
        <v>0</v>
      </c>
      <c r="C42" s="53"/>
      <c r="D42" s="49">
        <v>0</v>
      </c>
      <c r="E42" s="63"/>
      <c r="F42" s="49">
        <v>77.13</v>
      </c>
    </row>
    <row r="43" spans="1:7" x14ac:dyDescent="0.25">
      <c r="A43" s="3" t="s">
        <v>37</v>
      </c>
      <c r="B43" s="52">
        <v>2807.88</v>
      </c>
      <c r="C43" s="53"/>
      <c r="D43" s="49">
        <v>2075</v>
      </c>
      <c r="E43" s="63"/>
      <c r="F43" s="55">
        <v>591.41999999999996</v>
      </c>
    </row>
    <row r="44" spans="1:7" x14ac:dyDescent="0.25">
      <c r="A44" s="3" t="s">
        <v>38</v>
      </c>
      <c r="B44" s="51"/>
      <c r="C44" s="50">
        <f>(B42+B43)</f>
        <v>2807.88</v>
      </c>
      <c r="D44" s="49"/>
      <c r="E44" s="63">
        <f>SUM(D42:D43)</f>
        <v>2075</v>
      </c>
      <c r="G44" s="53">
        <v>668.55</v>
      </c>
    </row>
    <row r="45" spans="1:7" x14ac:dyDescent="0.25">
      <c r="A45" s="3" t="s">
        <v>39</v>
      </c>
      <c r="B45" s="52"/>
      <c r="C45" s="53"/>
      <c r="D45" s="49">
        <v>0</v>
      </c>
      <c r="E45" s="63"/>
      <c r="F45" s="49">
        <v>0</v>
      </c>
    </row>
    <row r="46" spans="1:7" x14ac:dyDescent="0.25">
      <c r="A46" s="3" t="s">
        <v>40</v>
      </c>
      <c r="B46" s="52">
        <v>4107.88</v>
      </c>
      <c r="C46" s="53"/>
      <c r="D46" s="49">
        <v>580</v>
      </c>
      <c r="E46" s="63"/>
      <c r="F46" s="49">
        <v>5490</v>
      </c>
    </row>
    <row r="47" spans="1:7" x14ac:dyDescent="0.25">
      <c r="A47" s="3" t="s">
        <v>41</v>
      </c>
      <c r="B47" s="52">
        <v>2295.2800000000002</v>
      </c>
      <c r="C47" s="53"/>
      <c r="D47" s="49">
        <v>4079.55</v>
      </c>
      <c r="E47" s="63"/>
      <c r="F47" s="49">
        <v>5300</v>
      </c>
    </row>
    <row r="48" spans="1:7" x14ac:dyDescent="0.25">
      <c r="A48" s="3" t="s">
        <v>42</v>
      </c>
      <c r="B48" s="52">
        <v>0</v>
      </c>
      <c r="C48" s="53"/>
      <c r="D48" s="49">
        <v>0</v>
      </c>
      <c r="E48" s="63"/>
      <c r="F48" s="49">
        <v>0</v>
      </c>
    </row>
    <row r="49" spans="1:7" x14ac:dyDescent="0.25">
      <c r="A49" s="3" t="s">
        <v>43</v>
      </c>
      <c r="B49" s="54">
        <v>1080</v>
      </c>
      <c r="C49" s="53"/>
      <c r="D49" s="55">
        <v>0</v>
      </c>
      <c r="E49" s="63"/>
      <c r="F49" s="55">
        <v>0</v>
      </c>
    </row>
    <row r="50" spans="1:7" x14ac:dyDescent="0.25">
      <c r="A50" s="3" t="s">
        <v>44</v>
      </c>
      <c r="B50" s="51"/>
      <c r="C50" s="56">
        <f>(B45+B46+B47+B48+B49)</f>
        <v>7483.16</v>
      </c>
      <c r="D50" s="49"/>
      <c r="E50" s="64">
        <f>SUM(D45:D49)</f>
        <v>4659.55</v>
      </c>
      <c r="G50" s="59">
        <f>SUM(F45:F49)</f>
        <v>10790</v>
      </c>
    </row>
    <row r="51" spans="1:7" x14ac:dyDescent="0.25">
      <c r="A51" s="1" t="s">
        <v>45</v>
      </c>
      <c r="B51" s="51"/>
      <c r="C51" s="57">
        <f>SUBTOTAL(9,C20:C50)</f>
        <v>93140.510000000024</v>
      </c>
      <c r="D51" s="49"/>
      <c r="E51" s="65">
        <f>SUM(E27,E37,E39,E41,E44,E50)</f>
        <v>63772.840000000004</v>
      </c>
      <c r="G51" s="60">
        <f>SUM(G27+G37+G39+G41+G44+G50)</f>
        <v>55680.98</v>
      </c>
    </row>
    <row r="52" spans="1:7" x14ac:dyDescent="0.25">
      <c r="B52" s="49"/>
      <c r="C52" s="53"/>
      <c r="D52" s="49"/>
      <c r="E52" s="63"/>
    </row>
    <row r="53" spans="1:7" x14ac:dyDescent="0.25">
      <c r="A53" s="1" t="s">
        <v>46</v>
      </c>
      <c r="B53" s="49"/>
      <c r="C53" s="53"/>
      <c r="D53" s="49"/>
      <c r="E53" s="63"/>
    </row>
    <row r="54" spans="1:7" x14ac:dyDescent="0.25">
      <c r="A54" s="3" t="s">
        <v>47</v>
      </c>
      <c r="B54" s="52">
        <v>40579.25</v>
      </c>
      <c r="C54" s="53"/>
      <c r="D54" s="49">
        <v>60941.440000000002</v>
      </c>
      <c r="E54" s="63"/>
      <c r="F54" s="49">
        <v>59357.25</v>
      </c>
    </row>
    <row r="55" spans="1:7" x14ac:dyDescent="0.25">
      <c r="A55" s="3" t="s">
        <v>48</v>
      </c>
      <c r="B55" s="52">
        <v>114.81</v>
      </c>
      <c r="C55" s="53"/>
      <c r="D55" s="49">
        <v>480</v>
      </c>
      <c r="E55" s="63"/>
      <c r="F55" s="49">
        <v>300.07</v>
      </c>
    </row>
    <row r="56" spans="1:7" x14ac:dyDescent="0.25">
      <c r="A56" s="3" t="s">
        <v>49</v>
      </c>
      <c r="B56" s="52">
        <v>2071.75</v>
      </c>
      <c r="C56" s="53"/>
      <c r="D56" s="49">
        <v>871.5</v>
      </c>
      <c r="E56" s="63"/>
      <c r="F56" s="49">
        <v>557.08000000000004</v>
      </c>
    </row>
    <row r="57" spans="1:7" x14ac:dyDescent="0.25">
      <c r="A57" s="3" t="s">
        <v>50</v>
      </c>
      <c r="B57" s="52">
        <v>10599.36</v>
      </c>
      <c r="C57" s="53"/>
      <c r="D57" s="49">
        <v>12000.7</v>
      </c>
      <c r="E57" s="63"/>
      <c r="F57" s="49">
        <v>12564.38</v>
      </c>
    </row>
    <row r="58" spans="1:7" x14ac:dyDescent="0.25">
      <c r="A58" s="3" t="s">
        <v>51</v>
      </c>
      <c r="B58" s="52">
        <v>873.23</v>
      </c>
      <c r="C58" s="53"/>
      <c r="D58" s="49">
        <v>385</v>
      </c>
      <c r="E58" s="63"/>
      <c r="F58" s="49">
        <v>309.64</v>
      </c>
    </row>
    <row r="59" spans="1:7" x14ac:dyDescent="0.25">
      <c r="A59" s="3" t="s">
        <v>52</v>
      </c>
      <c r="B59" s="52">
        <v>403.32</v>
      </c>
      <c r="C59" s="53"/>
      <c r="D59" s="49">
        <v>680</v>
      </c>
      <c r="E59" s="63"/>
      <c r="F59" s="49">
        <v>0</v>
      </c>
    </row>
    <row r="60" spans="1:7" x14ac:dyDescent="0.25">
      <c r="A60" s="3" t="s">
        <v>53</v>
      </c>
      <c r="B60" s="52">
        <v>95.67</v>
      </c>
      <c r="C60" s="53"/>
      <c r="D60" s="49">
        <v>70</v>
      </c>
      <c r="E60" s="63"/>
      <c r="F60" s="49">
        <v>34.79</v>
      </c>
    </row>
    <row r="61" spans="1:7" x14ac:dyDescent="0.25">
      <c r="A61" s="3" t="s">
        <v>54</v>
      </c>
      <c r="B61" s="52">
        <v>3385.07</v>
      </c>
      <c r="C61" s="53"/>
      <c r="D61" s="49">
        <v>3544</v>
      </c>
      <c r="E61" s="63"/>
      <c r="F61" s="49">
        <v>2678.84</v>
      </c>
    </row>
    <row r="62" spans="1:7" x14ac:dyDescent="0.25">
      <c r="A62" s="3" t="s">
        <v>55</v>
      </c>
      <c r="B62" s="52">
        <v>52.18</v>
      </c>
      <c r="C62" s="53"/>
      <c r="D62" s="49">
        <v>0</v>
      </c>
      <c r="E62" s="63"/>
      <c r="F62" s="49">
        <v>0</v>
      </c>
    </row>
    <row r="63" spans="1:7" x14ac:dyDescent="0.25">
      <c r="A63" s="3" t="s">
        <v>56</v>
      </c>
      <c r="B63" s="52">
        <v>15492.99</v>
      </c>
      <c r="C63" s="53"/>
      <c r="D63" s="49">
        <v>23379.05</v>
      </c>
      <c r="E63" s="63"/>
      <c r="F63" s="49">
        <v>0</v>
      </c>
    </row>
    <row r="64" spans="1:7" x14ac:dyDescent="0.25">
      <c r="A64" s="3" t="s">
        <v>300</v>
      </c>
      <c r="B64" s="52"/>
      <c r="C64" s="53"/>
      <c r="D64" s="49"/>
      <c r="E64" s="63"/>
      <c r="F64" s="49">
        <v>3362.28</v>
      </c>
    </row>
    <row r="65" spans="1:7" x14ac:dyDescent="0.25">
      <c r="A65" s="3" t="s">
        <v>301</v>
      </c>
      <c r="B65" s="52"/>
      <c r="C65" s="53"/>
      <c r="D65" s="49"/>
      <c r="E65" s="63"/>
      <c r="F65" s="49">
        <v>6327.46</v>
      </c>
    </row>
    <row r="66" spans="1:7" x14ac:dyDescent="0.25">
      <c r="A66" s="3" t="s">
        <v>302</v>
      </c>
      <c r="B66" s="52"/>
      <c r="C66" s="53"/>
      <c r="D66" s="49"/>
      <c r="E66" s="63"/>
      <c r="F66" s="49">
        <v>251.53</v>
      </c>
    </row>
    <row r="67" spans="1:7" x14ac:dyDescent="0.25">
      <c r="A67" s="3" t="s">
        <v>57</v>
      </c>
      <c r="B67" s="52">
        <v>3720.82</v>
      </c>
      <c r="C67" s="53"/>
      <c r="D67" s="49">
        <v>4760</v>
      </c>
      <c r="E67" s="63"/>
      <c r="F67" s="49">
        <v>5814.3</v>
      </c>
    </row>
    <row r="68" spans="1:7" x14ac:dyDescent="0.25">
      <c r="A68" s="3" t="s">
        <v>58</v>
      </c>
      <c r="B68" s="54">
        <v>1793.43</v>
      </c>
      <c r="C68" s="53"/>
      <c r="D68" s="55">
        <v>3749.6</v>
      </c>
      <c r="E68" s="63"/>
      <c r="F68" s="55">
        <v>3672</v>
      </c>
    </row>
    <row r="69" spans="1:7" x14ac:dyDescent="0.25">
      <c r="A69" s="3" t="s">
        <v>59</v>
      </c>
      <c r="B69" s="51"/>
      <c r="C69" s="50">
        <f>(B54+B55+B56+B57+B58+B59+B60+B61+B62+B63+B67+B68)</f>
        <v>79181.88</v>
      </c>
      <c r="D69" s="49"/>
      <c r="E69" s="63">
        <f>SUM(D54:D68)</f>
        <v>110861.29000000001</v>
      </c>
      <c r="G69" s="53">
        <f>SUM(F54:F68)</f>
        <v>95229.62</v>
      </c>
    </row>
    <row r="70" spans="1:7" x14ac:dyDescent="0.25">
      <c r="A70" s="3" t="s">
        <v>60</v>
      </c>
      <c r="B70" s="51"/>
      <c r="C70" s="50">
        <v>4346.1000000000004</v>
      </c>
      <c r="D70" s="49"/>
      <c r="E70" s="63">
        <v>6509.05</v>
      </c>
      <c r="G70" s="53">
        <v>2822.51</v>
      </c>
    </row>
    <row r="71" spans="1:7" x14ac:dyDescent="0.25">
      <c r="A71" s="3" t="s">
        <v>61</v>
      </c>
      <c r="B71" s="51"/>
      <c r="C71" s="50">
        <v>4192.18</v>
      </c>
      <c r="D71" s="49"/>
      <c r="E71" s="63">
        <v>3350.96</v>
      </c>
      <c r="G71" s="53">
        <v>3840.77</v>
      </c>
    </row>
    <row r="72" spans="1:7" x14ac:dyDescent="0.25">
      <c r="A72" s="3" t="s">
        <v>62</v>
      </c>
      <c r="B72" s="51"/>
      <c r="C72" s="50">
        <v>530.54999999999995</v>
      </c>
      <c r="D72" s="49"/>
      <c r="E72" s="63">
        <v>716</v>
      </c>
      <c r="G72" s="53">
        <v>339.2</v>
      </c>
    </row>
    <row r="73" spans="1:7" x14ac:dyDescent="0.25">
      <c r="A73" s="3" t="s">
        <v>63</v>
      </c>
      <c r="B73" s="51"/>
      <c r="C73" s="50">
        <v>3185.93</v>
      </c>
      <c r="D73" s="49"/>
      <c r="E73" s="63">
        <v>3129.29</v>
      </c>
      <c r="G73" s="53">
        <v>2729</v>
      </c>
    </row>
    <row r="74" spans="1:7" x14ac:dyDescent="0.25">
      <c r="A74" s="3" t="s">
        <v>64</v>
      </c>
      <c r="B74" s="51"/>
      <c r="C74" s="50">
        <v>1217.6600000000001</v>
      </c>
      <c r="D74" s="49"/>
      <c r="E74" s="63">
        <v>2890.59</v>
      </c>
      <c r="G74" s="53">
        <v>2122.1999999999998</v>
      </c>
    </row>
    <row r="75" spans="1:7" x14ac:dyDescent="0.25">
      <c r="A75" s="3" t="s">
        <v>65</v>
      </c>
      <c r="B75" s="51"/>
      <c r="C75" s="50">
        <v>1739.51</v>
      </c>
      <c r="D75" s="49"/>
      <c r="E75" s="63">
        <v>8359.1299999999992</v>
      </c>
      <c r="G75" s="53">
        <v>10000</v>
      </c>
    </row>
    <row r="76" spans="1:7" x14ac:dyDescent="0.25">
      <c r="A76" s="3" t="s">
        <v>290</v>
      </c>
      <c r="B76" s="51"/>
      <c r="C76" s="50">
        <v>0</v>
      </c>
      <c r="D76" s="49"/>
      <c r="E76" s="63">
        <v>1500</v>
      </c>
      <c r="G76" s="53">
        <v>0</v>
      </c>
    </row>
    <row r="77" spans="1:7" x14ac:dyDescent="0.25">
      <c r="A77" s="3" t="s">
        <v>66</v>
      </c>
      <c r="B77" s="54">
        <v>830</v>
      </c>
      <c r="C77" s="53"/>
      <c r="D77" s="55">
        <v>0</v>
      </c>
      <c r="E77" s="63"/>
      <c r="F77" s="55">
        <v>1014</v>
      </c>
    </row>
    <row r="78" spans="1:7" x14ac:dyDescent="0.25">
      <c r="A78" s="3" t="s">
        <v>67</v>
      </c>
      <c r="B78" s="51"/>
      <c r="C78" s="56">
        <f>(B77)</f>
        <v>830</v>
      </c>
      <c r="D78" s="49"/>
      <c r="E78" s="64">
        <f>D77</f>
        <v>0</v>
      </c>
      <c r="G78" s="59">
        <f>SUM(F77)</f>
        <v>1014</v>
      </c>
    </row>
    <row r="79" spans="1:7" x14ac:dyDescent="0.25">
      <c r="A79" s="1" t="s">
        <v>68</v>
      </c>
      <c r="B79" s="51"/>
      <c r="C79" s="57">
        <f>SUBTOTAL(9,C52:C78)</f>
        <v>95223.81</v>
      </c>
      <c r="D79" s="49"/>
      <c r="E79" s="65">
        <f>SUM(E69:E78)</f>
        <v>137316.31</v>
      </c>
      <c r="G79" s="59">
        <f>SUM(G69:G78)</f>
        <v>118097.29999999999</v>
      </c>
    </row>
    <row r="80" spans="1:7" x14ac:dyDescent="0.25">
      <c r="B80" s="49"/>
      <c r="C80" s="53"/>
      <c r="D80" s="49"/>
      <c r="E80" s="63"/>
    </row>
    <row r="81" spans="1:7" x14ac:dyDescent="0.25">
      <c r="A81" s="1" t="s">
        <v>303</v>
      </c>
      <c r="B81" s="49"/>
      <c r="C81" s="53"/>
      <c r="D81" s="49"/>
      <c r="E81" s="63"/>
    </row>
    <row r="82" spans="1:7" x14ac:dyDescent="0.25">
      <c r="A82" s="3" t="s">
        <v>59</v>
      </c>
      <c r="B82" s="51"/>
      <c r="C82" s="50">
        <v>25840.15</v>
      </c>
      <c r="D82" s="49"/>
      <c r="E82" s="63">
        <v>20769.32</v>
      </c>
      <c r="G82" s="53">
        <v>21421</v>
      </c>
    </row>
    <row r="83" spans="1:7" x14ac:dyDescent="0.25">
      <c r="A83" s="3" t="s">
        <v>61</v>
      </c>
      <c r="B83" s="51"/>
      <c r="C83" s="50">
        <v>1400.56</v>
      </c>
      <c r="D83" s="49"/>
      <c r="E83" s="63">
        <v>2493.9699999999998</v>
      </c>
      <c r="G83" s="53">
        <v>598.13</v>
      </c>
    </row>
    <row r="84" spans="1:7" x14ac:dyDescent="0.25">
      <c r="A84" s="3" t="s">
        <v>65</v>
      </c>
      <c r="B84" s="51"/>
      <c r="C84" s="50"/>
      <c r="D84" s="49"/>
      <c r="E84" s="63"/>
      <c r="G84" s="53">
        <v>200</v>
      </c>
    </row>
    <row r="85" spans="1:7" x14ac:dyDescent="0.25">
      <c r="A85" s="3" t="s">
        <v>69</v>
      </c>
      <c r="B85" s="51"/>
      <c r="C85" s="50">
        <v>899.68</v>
      </c>
      <c r="D85" s="49"/>
      <c r="E85" s="63">
        <v>688.15</v>
      </c>
      <c r="G85" s="53">
        <v>1860.32</v>
      </c>
    </row>
    <row r="86" spans="1:7" x14ac:dyDescent="0.25">
      <c r="A86" s="3" t="s">
        <v>260</v>
      </c>
      <c r="B86" s="51"/>
      <c r="C86" s="56">
        <v>0</v>
      </c>
      <c r="D86" s="49"/>
      <c r="E86" s="64">
        <v>1426.03</v>
      </c>
      <c r="G86" s="59">
        <v>0</v>
      </c>
    </row>
    <row r="87" spans="1:7" x14ac:dyDescent="0.25">
      <c r="A87" s="1" t="s">
        <v>70</v>
      </c>
      <c r="B87" s="51"/>
      <c r="C87" s="57">
        <f>SUBTOTAL(9,C80:C86)</f>
        <v>28140.390000000003</v>
      </c>
      <c r="D87" s="49"/>
      <c r="E87" s="65">
        <f>SUM(E82:E86)</f>
        <v>25377.47</v>
      </c>
      <c r="G87" s="60">
        <f>SUM(G82:G86)</f>
        <v>24079.45</v>
      </c>
    </row>
    <row r="88" spans="1:7" x14ac:dyDescent="0.25">
      <c r="A88" s="1"/>
      <c r="B88" s="51"/>
      <c r="C88" s="50"/>
      <c r="D88" s="49"/>
      <c r="E88" s="63"/>
    </row>
    <row r="89" spans="1:7" x14ac:dyDescent="0.25">
      <c r="A89" s="1" t="s">
        <v>305</v>
      </c>
      <c r="B89" s="49"/>
      <c r="C89" s="53"/>
      <c r="D89" s="49"/>
      <c r="E89" s="63"/>
    </row>
    <row r="90" spans="1:7" x14ac:dyDescent="0.25">
      <c r="A90" s="3" t="s">
        <v>59</v>
      </c>
      <c r="B90" s="51"/>
      <c r="C90" s="50"/>
      <c r="D90" s="49"/>
      <c r="E90" s="63"/>
      <c r="G90" s="53">
        <v>41100.269999999997</v>
      </c>
    </row>
    <row r="91" spans="1:7" x14ac:dyDescent="0.25">
      <c r="A91" s="3" t="s">
        <v>306</v>
      </c>
      <c r="B91" s="51"/>
      <c r="C91" s="50"/>
      <c r="D91" s="49"/>
      <c r="E91" s="63"/>
      <c r="G91" s="53">
        <v>7050.91</v>
      </c>
    </row>
    <row r="92" spans="1:7" x14ac:dyDescent="0.25">
      <c r="A92" s="3" t="s">
        <v>61</v>
      </c>
      <c r="B92" s="51"/>
      <c r="C92" s="50"/>
      <c r="D92" s="49"/>
      <c r="E92" s="63"/>
      <c r="G92" s="53">
        <v>3277.91</v>
      </c>
    </row>
    <row r="93" spans="1:7" x14ac:dyDescent="0.25">
      <c r="A93" s="3" t="s">
        <v>65</v>
      </c>
      <c r="B93" s="51"/>
      <c r="C93" s="50"/>
      <c r="D93" s="49"/>
      <c r="E93" s="63"/>
      <c r="G93" s="53">
        <v>4708.42</v>
      </c>
    </row>
    <row r="94" spans="1:7" x14ac:dyDescent="0.25">
      <c r="A94" s="3" t="s">
        <v>307</v>
      </c>
      <c r="B94" s="51"/>
      <c r="C94" s="50"/>
      <c r="D94" s="49"/>
      <c r="E94" s="63"/>
      <c r="G94" s="53">
        <v>5264</v>
      </c>
    </row>
    <row r="95" spans="1:7" x14ac:dyDescent="0.25">
      <c r="A95" s="3" t="s">
        <v>308</v>
      </c>
      <c r="B95" s="51"/>
      <c r="C95" s="50"/>
      <c r="D95" s="49"/>
      <c r="E95" s="63"/>
      <c r="G95" s="59">
        <v>192</v>
      </c>
    </row>
    <row r="96" spans="1:7" x14ac:dyDescent="0.25">
      <c r="A96" s="1" t="s">
        <v>342</v>
      </c>
      <c r="B96" s="51"/>
      <c r="C96" s="50"/>
      <c r="D96" s="49"/>
      <c r="E96" s="63"/>
      <c r="G96" s="60">
        <f>SUM(G90:G95)</f>
        <v>61593.509999999995</v>
      </c>
    </row>
    <row r="97" spans="1:7" x14ac:dyDescent="0.25">
      <c r="A97" s="1"/>
      <c r="B97" s="51"/>
      <c r="C97" s="50"/>
      <c r="D97" s="49"/>
      <c r="E97" s="63"/>
    </row>
    <row r="98" spans="1:7" x14ac:dyDescent="0.25">
      <c r="A98" s="1" t="s">
        <v>304</v>
      </c>
      <c r="B98" s="49"/>
      <c r="C98" s="53"/>
      <c r="D98" s="49"/>
      <c r="E98" s="63"/>
    </row>
    <row r="99" spans="1:7" x14ac:dyDescent="0.25">
      <c r="A99" s="3" t="s">
        <v>59</v>
      </c>
      <c r="B99" s="51"/>
      <c r="C99" s="50">
        <v>0</v>
      </c>
      <c r="D99" s="49"/>
      <c r="E99" s="63">
        <v>13648.48</v>
      </c>
    </row>
    <row r="100" spans="1:7" x14ac:dyDescent="0.25">
      <c r="A100" s="3" t="s">
        <v>61</v>
      </c>
      <c r="B100" s="51"/>
      <c r="C100" s="50">
        <v>0</v>
      </c>
      <c r="D100" s="49"/>
      <c r="E100" s="63">
        <v>0</v>
      </c>
    </row>
    <row r="101" spans="1:7" x14ac:dyDescent="0.25">
      <c r="A101" s="3" t="s">
        <v>69</v>
      </c>
      <c r="B101" s="51"/>
      <c r="C101" s="56">
        <v>0</v>
      </c>
      <c r="D101" s="49"/>
      <c r="E101" s="64">
        <v>261.99</v>
      </c>
    </row>
    <row r="102" spans="1:7" x14ac:dyDescent="0.25">
      <c r="A102" s="1" t="s">
        <v>70</v>
      </c>
      <c r="B102" s="51"/>
      <c r="C102" s="57">
        <v>0</v>
      </c>
      <c r="D102" s="49"/>
      <c r="E102" s="65">
        <f>SUM(E99:E101)</f>
        <v>13910.47</v>
      </c>
    </row>
    <row r="103" spans="1:7" x14ac:dyDescent="0.25">
      <c r="A103" s="1"/>
      <c r="B103" s="51"/>
      <c r="C103" s="50"/>
      <c r="D103" s="49"/>
      <c r="E103" s="63"/>
    </row>
    <row r="104" spans="1:7" x14ac:dyDescent="0.25">
      <c r="A104" s="1" t="s">
        <v>291</v>
      </c>
      <c r="B104" s="51"/>
      <c r="C104" s="50"/>
      <c r="D104" s="49"/>
      <c r="E104" s="63"/>
    </row>
    <row r="105" spans="1:7" x14ac:dyDescent="0.25">
      <c r="A105" s="2" t="s">
        <v>292</v>
      </c>
      <c r="B105" s="49">
        <v>300</v>
      </c>
      <c r="C105" s="59"/>
      <c r="D105" s="49"/>
      <c r="E105" s="63"/>
    </row>
    <row r="106" spans="1:7" x14ac:dyDescent="0.25">
      <c r="A106" s="6" t="s">
        <v>293</v>
      </c>
      <c r="B106" s="49"/>
      <c r="C106" s="53">
        <f>B105</f>
        <v>300</v>
      </c>
      <c r="D106" s="49"/>
      <c r="E106" s="63"/>
    </row>
    <row r="107" spans="1:7" x14ac:dyDescent="0.25">
      <c r="A107" s="2"/>
      <c r="B107" s="49"/>
      <c r="C107" s="53"/>
      <c r="D107" s="49"/>
      <c r="E107" s="63"/>
    </row>
    <row r="108" spans="1:7" ht="15.75" thickBot="1" x14ac:dyDescent="0.3">
      <c r="A108" s="1" t="s">
        <v>71</v>
      </c>
      <c r="B108" s="51"/>
      <c r="C108" s="56">
        <f>SUBTOTAL(9,C6:C106)</f>
        <v>242806.91</v>
      </c>
      <c r="D108" s="49"/>
      <c r="E108" s="64">
        <f>SUM(E19,E51,E79,E87,E102)</f>
        <v>265808.77999999997</v>
      </c>
      <c r="G108" s="80">
        <f>SUM(G19+G51+G79+G87+G96+G102+G106)</f>
        <v>291633.41000000003</v>
      </c>
    </row>
    <row r="109" spans="1:7" x14ac:dyDescent="0.25">
      <c r="B109" s="49"/>
      <c r="C109" s="53"/>
      <c r="D109" s="49"/>
      <c r="E109" s="63"/>
    </row>
    <row r="110" spans="1:7" x14ac:dyDescent="0.25">
      <c r="A110" s="1" t="s">
        <v>72</v>
      </c>
      <c r="B110" s="49"/>
      <c r="C110" s="53"/>
      <c r="D110" s="49"/>
      <c r="E110" s="63"/>
    </row>
    <row r="111" spans="1:7" x14ac:dyDescent="0.25">
      <c r="B111" s="49"/>
      <c r="C111" s="53"/>
      <c r="D111" s="49"/>
      <c r="E111" s="63"/>
    </row>
    <row r="112" spans="1:7" x14ac:dyDescent="0.25">
      <c r="A112" s="1" t="s">
        <v>73</v>
      </c>
      <c r="B112" s="49"/>
      <c r="C112" s="53"/>
      <c r="D112" s="49"/>
      <c r="E112" s="63"/>
    </row>
    <row r="113" spans="1:7" x14ac:dyDescent="0.25">
      <c r="A113" s="3" t="s">
        <v>74</v>
      </c>
      <c r="B113" s="51"/>
      <c r="C113" s="50">
        <v>3757.23</v>
      </c>
      <c r="D113" s="49"/>
      <c r="E113" s="63">
        <v>4575.07</v>
      </c>
      <c r="G113" s="53">
        <v>6747.63</v>
      </c>
    </row>
    <row r="114" spans="1:7" x14ac:dyDescent="0.25">
      <c r="A114" s="3" t="s">
        <v>75</v>
      </c>
      <c r="B114" s="52"/>
      <c r="C114" s="53"/>
      <c r="D114" s="49">
        <v>100</v>
      </c>
      <c r="E114" s="63"/>
      <c r="F114" s="49">
        <v>0</v>
      </c>
    </row>
    <row r="115" spans="1:7" ht="15.75" thickBot="1" x14ac:dyDescent="0.3">
      <c r="A115" s="3" t="s">
        <v>76</v>
      </c>
      <c r="B115" s="54">
        <v>0</v>
      </c>
      <c r="C115" s="53"/>
      <c r="D115" s="49">
        <v>0</v>
      </c>
      <c r="E115" s="63"/>
      <c r="F115" s="81">
        <v>0</v>
      </c>
    </row>
    <row r="116" spans="1:7" x14ac:dyDescent="0.25">
      <c r="A116" s="3" t="s">
        <v>77</v>
      </c>
      <c r="B116" s="51"/>
      <c r="C116" s="50">
        <f>(B114+B115)</f>
        <v>0</v>
      </c>
      <c r="D116" s="49"/>
      <c r="E116" s="63">
        <f>SUM(D114:D115)</f>
        <v>100</v>
      </c>
      <c r="G116" s="53">
        <f>SUM(F114:F115)</f>
        <v>0</v>
      </c>
    </row>
    <row r="117" spans="1:7" x14ac:dyDescent="0.25">
      <c r="A117" s="3" t="s">
        <v>261</v>
      </c>
      <c r="B117" s="51"/>
      <c r="C117" s="50"/>
      <c r="D117" s="49">
        <v>1842</v>
      </c>
      <c r="E117" s="63"/>
      <c r="F117" s="49">
        <v>0</v>
      </c>
    </row>
    <row r="118" spans="1:7" ht="15.75" thickBot="1" x14ac:dyDescent="0.3">
      <c r="A118" s="3" t="s">
        <v>8</v>
      </c>
      <c r="B118" s="54">
        <v>564.02</v>
      </c>
      <c r="C118" s="53"/>
      <c r="D118" s="55">
        <v>170.56</v>
      </c>
      <c r="E118" s="63"/>
      <c r="F118" s="81">
        <v>3269.97</v>
      </c>
    </row>
    <row r="119" spans="1:7" x14ac:dyDescent="0.25">
      <c r="A119" s="3" t="s">
        <v>9</v>
      </c>
      <c r="B119" s="51"/>
      <c r="C119" s="50">
        <f>(B118)</f>
        <v>564.02</v>
      </c>
      <c r="D119" s="49"/>
      <c r="E119" s="63">
        <f>SUM(D117:D118)</f>
        <v>2012.56</v>
      </c>
      <c r="G119" s="53">
        <f>SUM(F117:F118)</f>
        <v>3269.97</v>
      </c>
    </row>
    <row r="120" spans="1:7" x14ac:dyDescent="0.25">
      <c r="A120" s="3" t="s">
        <v>12</v>
      </c>
      <c r="B120" s="54">
        <v>456.84</v>
      </c>
      <c r="C120" s="53"/>
      <c r="D120" s="49">
        <v>150</v>
      </c>
      <c r="E120" s="63"/>
      <c r="F120" s="49">
        <v>0</v>
      </c>
    </row>
    <row r="121" spans="1:7" x14ac:dyDescent="0.25">
      <c r="A121" s="3" t="s">
        <v>262</v>
      </c>
      <c r="B121" s="52"/>
      <c r="C121" s="53"/>
      <c r="D121" s="49">
        <v>2043.24</v>
      </c>
      <c r="E121" s="63"/>
      <c r="F121" s="49">
        <v>0</v>
      </c>
    </row>
    <row r="122" spans="1:7" x14ac:dyDescent="0.25">
      <c r="A122" s="3" t="s">
        <v>309</v>
      </c>
      <c r="B122" s="52"/>
      <c r="C122" s="53"/>
      <c r="D122" s="49"/>
      <c r="E122" s="63"/>
      <c r="F122" s="49">
        <v>500</v>
      </c>
    </row>
    <row r="123" spans="1:7" x14ac:dyDescent="0.25">
      <c r="A123" s="3" t="s">
        <v>310</v>
      </c>
      <c r="B123" s="52"/>
      <c r="C123" s="53"/>
      <c r="D123" s="49"/>
      <c r="E123" s="63"/>
      <c r="F123" s="49">
        <v>1206.8399999999999</v>
      </c>
    </row>
    <row r="124" spans="1:7" x14ac:dyDescent="0.25">
      <c r="A124" s="3" t="s">
        <v>311</v>
      </c>
      <c r="B124" s="52"/>
      <c r="C124" s="53"/>
      <c r="D124" s="49"/>
      <c r="E124" s="63"/>
      <c r="F124" s="49">
        <v>750</v>
      </c>
    </row>
    <row r="125" spans="1:7" ht="15.75" thickBot="1" x14ac:dyDescent="0.3">
      <c r="A125" s="3" t="s">
        <v>312</v>
      </c>
      <c r="B125" s="52"/>
      <c r="C125" s="53"/>
      <c r="D125" s="49"/>
      <c r="E125" s="63"/>
      <c r="F125" s="81">
        <v>3932.46</v>
      </c>
    </row>
    <row r="126" spans="1:7" ht="15.75" thickBot="1" x14ac:dyDescent="0.3">
      <c r="A126" s="3" t="s">
        <v>13</v>
      </c>
      <c r="B126" s="51"/>
      <c r="C126" s="56">
        <f>(B120)</f>
        <v>456.84</v>
      </c>
      <c r="D126" s="49"/>
      <c r="E126" s="64">
        <f>SUM(D120:D121)</f>
        <v>2193.2399999999998</v>
      </c>
      <c r="G126" s="80">
        <f>SUM(F120:F125)</f>
        <v>6389.3</v>
      </c>
    </row>
    <row r="127" spans="1:7" x14ac:dyDescent="0.25">
      <c r="A127" s="1" t="s">
        <v>78</v>
      </c>
      <c r="B127" s="51"/>
      <c r="C127" s="57">
        <f>SUBTOTAL(9,C111:C126)</f>
        <v>4778.09</v>
      </c>
      <c r="D127" s="49"/>
      <c r="E127" s="65">
        <f>SUM(E113,E116,E119,E126)</f>
        <v>8880.869999999999</v>
      </c>
      <c r="G127" s="83">
        <f>SUM(G113+G116+G119+G126)</f>
        <v>16406.900000000001</v>
      </c>
    </row>
    <row r="128" spans="1:7" x14ac:dyDescent="0.25">
      <c r="B128" s="49"/>
      <c r="C128" s="53"/>
      <c r="D128" s="49"/>
      <c r="E128" s="63"/>
    </row>
    <row r="129" spans="1:7" x14ac:dyDescent="0.25">
      <c r="A129" s="1" t="s">
        <v>79</v>
      </c>
      <c r="B129" s="49"/>
      <c r="C129" s="53"/>
      <c r="D129" s="49"/>
      <c r="E129" s="63"/>
    </row>
    <row r="130" spans="1:7" x14ac:dyDescent="0.25">
      <c r="A130" s="3" t="s">
        <v>289</v>
      </c>
      <c r="B130" s="49"/>
      <c r="C130" s="53">
        <v>0</v>
      </c>
      <c r="D130" s="49"/>
      <c r="E130" s="63">
        <v>1953.57</v>
      </c>
      <c r="G130" s="53">
        <v>2120</v>
      </c>
    </row>
    <row r="131" spans="1:7" x14ac:dyDescent="0.25">
      <c r="A131" s="3" t="s">
        <v>313</v>
      </c>
      <c r="B131" s="52">
        <v>3960</v>
      </c>
      <c r="C131" s="53"/>
      <c r="D131" s="49">
        <v>4752.6400000000003</v>
      </c>
      <c r="E131" s="63"/>
      <c r="F131" s="49">
        <v>3380</v>
      </c>
    </row>
    <row r="132" spans="1:7" x14ac:dyDescent="0.25">
      <c r="A132" s="3" t="s">
        <v>80</v>
      </c>
      <c r="B132" s="52">
        <v>2280</v>
      </c>
      <c r="C132" s="53"/>
      <c r="D132" s="49">
        <v>2520</v>
      </c>
      <c r="E132" s="63"/>
      <c r="F132" s="49">
        <v>4810</v>
      </c>
    </row>
    <row r="133" spans="1:7" x14ac:dyDescent="0.25">
      <c r="A133" s="3" t="s">
        <v>81</v>
      </c>
      <c r="B133" s="52">
        <v>4000</v>
      </c>
      <c r="C133" s="53"/>
      <c r="D133" s="49">
        <v>2800</v>
      </c>
      <c r="E133" s="63"/>
      <c r="F133" s="49">
        <v>0</v>
      </c>
    </row>
    <row r="134" spans="1:7" x14ac:dyDescent="0.25">
      <c r="A134" s="3" t="s">
        <v>82</v>
      </c>
      <c r="B134" s="52">
        <v>8360</v>
      </c>
      <c r="C134" s="53"/>
      <c r="D134" s="49">
        <v>4630</v>
      </c>
      <c r="E134" s="63"/>
      <c r="F134" s="49">
        <v>7169.66</v>
      </c>
    </row>
    <row r="135" spans="1:7" x14ac:dyDescent="0.25">
      <c r="A135" s="3" t="s">
        <v>263</v>
      </c>
      <c r="B135" s="52">
        <v>0</v>
      </c>
      <c r="C135" s="53"/>
      <c r="D135" s="49">
        <v>405</v>
      </c>
      <c r="E135" s="63"/>
      <c r="F135" s="49">
        <v>1400</v>
      </c>
    </row>
    <row r="136" spans="1:7" x14ac:dyDescent="0.25">
      <c r="A136" s="3" t="s">
        <v>288</v>
      </c>
      <c r="B136" s="52">
        <v>0</v>
      </c>
      <c r="C136" s="53"/>
      <c r="D136" s="55">
        <v>148.72</v>
      </c>
      <c r="E136" s="63"/>
      <c r="F136" s="55">
        <v>0</v>
      </c>
    </row>
    <row r="137" spans="1:7" x14ac:dyDescent="0.25">
      <c r="A137" s="3" t="s">
        <v>83</v>
      </c>
      <c r="B137" s="51"/>
      <c r="C137" s="50">
        <f>(B131+B132+B133+B134)</f>
        <v>18600</v>
      </c>
      <c r="D137" s="49"/>
      <c r="E137" s="63">
        <f>SUM(D131:D136)</f>
        <v>15256.359999999999</v>
      </c>
      <c r="G137" s="53">
        <f>SUM(F131:F136)</f>
        <v>16759.66</v>
      </c>
    </row>
    <row r="138" spans="1:7" x14ac:dyDescent="0.25">
      <c r="A138" s="3" t="s">
        <v>22</v>
      </c>
      <c r="B138" s="52">
        <v>2810</v>
      </c>
      <c r="C138" s="53"/>
      <c r="D138" s="49">
        <v>840</v>
      </c>
      <c r="E138" s="63"/>
      <c r="F138" s="49">
        <v>1242</v>
      </c>
    </row>
    <row r="139" spans="1:7" x14ac:dyDescent="0.25">
      <c r="A139" s="3" t="s">
        <v>23</v>
      </c>
      <c r="B139" s="52">
        <v>4440</v>
      </c>
      <c r="C139" s="53"/>
      <c r="D139" s="49">
        <v>4510</v>
      </c>
      <c r="E139" s="63"/>
      <c r="F139" s="49">
        <v>2613</v>
      </c>
    </row>
    <row r="140" spans="1:7" x14ac:dyDescent="0.25">
      <c r="A140" s="3" t="s">
        <v>84</v>
      </c>
      <c r="B140" s="52">
        <v>2850</v>
      </c>
      <c r="C140" s="53"/>
      <c r="D140" s="49">
        <v>840</v>
      </c>
      <c r="E140" s="63"/>
      <c r="F140" s="49">
        <v>1075</v>
      </c>
    </row>
    <row r="141" spans="1:7" x14ac:dyDescent="0.25">
      <c r="A141" s="3" t="s">
        <v>85</v>
      </c>
      <c r="B141" s="52">
        <v>9165</v>
      </c>
      <c r="C141" s="53"/>
      <c r="D141" s="49">
        <v>14854.08</v>
      </c>
      <c r="E141" s="63"/>
      <c r="F141" s="49">
        <v>9150</v>
      </c>
    </row>
    <row r="142" spans="1:7" x14ac:dyDescent="0.25">
      <c r="A142" s="3" t="s">
        <v>26</v>
      </c>
      <c r="B142" s="52">
        <v>1320</v>
      </c>
      <c r="C142" s="53"/>
      <c r="D142" s="49">
        <v>1720</v>
      </c>
      <c r="E142" s="63"/>
      <c r="F142" s="49">
        <v>400</v>
      </c>
    </row>
    <row r="143" spans="1:7" x14ac:dyDescent="0.25">
      <c r="A143" s="3" t="s">
        <v>27</v>
      </c>
      <c r="B143" s="52">
        <v>1240</v>
      </c>
      <c r="C143" s="53"/>
      <c r="D143" s="49">
        <v>0</v>
      </c>
      <c r="E143" s="63"/>
      <c r="F143" s="49">
        <v>160</v>
      </c>
    </row>
    <row r="144" spans="1:7" x14ac:dyDescent="0.25">
      <c r="A144" s="3" t="s">
        <v>86</v>
      </c>
      <c r="B144" s="52">
        <v>600</v>
      </c>
      <c r="C144" s="53"/>
      <c r="D144" s="49">
        <v>0</v>
      </c>
      <c r="E144" s="63"/>
      <c r="F144" s="49">
        <v>0</v>
      </c>
    </row>
    <row r="145" spans="1:7" x14ac:dyDescent="0.25">
      <c r="A145" s="3" t="s">
        <v>287</v>
      </c>
      <c r="B145" s="54">
        <v>0</v>
      </c>
      <c r="C145" s="53"/>
      <c r="D145" s="55">
        <v>714.31</v>
      </c>
      <c r="E145" s="63"/>
      <c r="F145" s="55">
        <v>0</v>
      </c>
    </row>
    <row r="146" spans="1:7" x14ac:dyDescent="0.25">
      <c r="A146" s="3" t="s">
        <v>87</v>
      </c>
      <c r="B146" s="51"/>
      <c r="C146" s="50">
        <f>(B138+B139+B140+B141+B142+B143+B144)</f>
        <v>22425</v>
      </c>
      <c r="D146" s="49"/>
      <c r="E146" s="63">
        <f>SUM(D138:D145)</f>
        <v>23478.390000000003</v>
      </c>
      <c r="G146" s="53">
        <f>SUM(F138:F145)</f>
        <v>14640</v>
      </c>
    </row>
    <row r="147" spans="1:7" x14ac:dyDescent="0.25">
      <c r="A147" s="3" t="s">
        <v>88</v>
      </c>
      <c r="B147" s="54">
        <v>1600</v>
      </c>
      <c r="C147" s="53"/>
      <c r="D147" s="55">
        <v>2900</v>
      </c>
      <c r="E147" s="63"/>
      <c r="F147" s="55">
        <v>1840</v>
      </c>
    </row>
    <row r="148" spans="1:7" x14ac:dyDescent="0.25">
      <c r="A148" s="3" t="s">
        <v>89</v>
      </c>
      <c r="B148" s="51"/>
      <c r="C148" s="50">
        <f>(B147)</f>
        <v>1600</v>
      </c>
      <c r="D148" s="49"/>
      <c r="E148" s="63">
        <f>D147</f>
        <v>2900</v>
      </c>
      <c r="G148" s="53">
        <f>SUM(F147)</f>
        <v>1840</v>
      </c>
    </row>
    <row r="149" spans="1:7" x14ac:dyDescent="0.25">
      <c r="A149" s="3" t="s">
        <v>90</v>
      </c>
      <c r="B149" s="54">
        <v>1520</v>
      </c>
      <c r="C149" s="53"/>
      <c r="D149" s="55">
        <v>0</v>
      </c>
      <c r="E149" s="63"/>
      <c r="F149" s="55">
        <v>120</v>
      </c>
    </row>
    <row r="150" spans="1:7" x14ac:dyDescent="0.25">
      <c r="A150" s="3" t="s">
        <v>91</v>
      </c>
      <c r="B150" s="51"/>
      <c r="C150" s="50">
        <f>(B149)</f>
        <v>1520</v>
      </c>
      <c r="D150" s="49"/>
      <c r="E150" s="63">
        <f>D149</f>
        <v>0</v>
      </c>
      <c r="G150" s="53">
        <f>SUM(F149)</f>
        <v>120</v>
      </c>
    </row>
    <row r="151" spans="1:7" x14ac:dyDescent="0.25">
      <c r="A151" s="3" t="s">
        <v>92</v>
      </c>
      <c r="B151" s="54">
        <v>2829.01</v>
      </c>
      <c r="C151" s="53"/>
      <c r="D151" s="55">
        <v>3090</v>
      </c>
      <c r="E151" s="63"/>
      <c r="F151" s="55">
        <v>5158.62</v>
      </c>
    </row>
    <row r="152" spans="1:7" x14ac:dyDescent="0.25">
      <c r="A152" s="3" t="s">
        <v>93</v>
      </c>
      <c r="B152" s="51"/>
      <c r="C152" s="50">
        <f>(B151)</f>
        <v>2829.01</v>
      </c>
      <c r="D152" s="49"/>
      <c r="E152" s="63">
        <f>D151</f>
        <v>3090</v>
      </c>
      <c r="G152" s="53">
        <f>SUM(F151)</f>
        <v>5158.62</v>
      </c>
    </row>
    <row r="153" spans="1:7" x14ac:dyDescent="0.25">
      <c r="A153" s="3" t="s">
        <v>94</v>
      </c>
      <c r="B153" s="51"/>
      <c r="C153" s="56">
        <v>0</v>
      </c>
      <c r="D153" s="49"/>
      <c r="E153" s="64">
        <v>0</v>
      </c>
      <c r="G153" s="59">
        <v>0</v>
      </c>
    </row>
    <row r="154" spans="1:7" x14ac:dyDescent="0.25">
      <c r="A154" s="1" t="s">
        <v>95</v>
      </c>
      <c r="B154" s="51"/>
      <c r="C154" s="57">
        <f>SUBTOTAL(9,C128:C153)</f>
        <v>46974.01</v>
      </c>
      <c r="D154" s="49"/>
      <c r="E154" s="65">
        <f>SUM(E137,E146,E148,E152,E150,E153,E130)</f>
        <v>46678.32</v>
      </c>
      <c r="G154" s="59">
        <f>SUM(G130+G137+G146+G148+G150+G152+G153)</f>
        <v>40638.280000000006</v>
      </c>
    </row>
    <row r="155" spans="1:7" x14ac:dyDescent="0.25">
      <c r="B155" s="49"/>
      <c r="C155" s="53"/>
      <c r="D155" s="49"/>
      <c r="E155" s="63"/>
    </row>
    <row r="156" spans="1:7" x14ac:dyDescent="0.25">
      <c r="A156" s="1" t="s">
        <v>96</v>
      </c>
      <c r="B156" s="49"/>
      <c r="C156" s="53"/>
      <c r="D156" s="49"/>
      <c r="E156" s="63"/>
    </row>
    <row r="157" spans="1:7" x14ac:dyDescent="0.25">
      <c r="A157" s="3" t="s">
        <v>97</v>
      </c>
      <c r="B157" s="52">
        <v>11308.53</v>
      </c>
      <c r="C157" s="53"/>
      <c r="D157" s="49">
        <v>16341</v>
      </c>
      <c r="E157" s="63"/>
      <c r="F157" s="49">
        <v>14206.07</v>
      </c>
    </row>
    <row r="158" spans="1:7" x14ac:dyDescent="0.25">
      <c r="A158" s="3" t="s">
        <v>98</v>
      </c>
      <c r="B158" s="52">
        <v>891</v>
      </c>
      <c r="C158" s="53"/>
      <c r="D158" s="49">
        <v>2377.5</v>
      </c>
      <c r="E158" s="63"/>
      <c r="F158" s="49">
        <v>5985.08</v>
      </c>
    </row>
    <row r="159" spans="1:7" x14ac:dyDescent="0.25">
      <c r="A159" s="3" t="s">
        <v>99</v>
      </c>
      <c r="B159" s="52">
        <v>212</v>
      </c>
      <c r="C159" s="53"/>
      <c r="D159" s="49">
        <v>0</v>
      </c>
      <c r="E159" s="63"/>
      <c r="F159" s="49">
        <v>0</v>
      </c>
    </row>
    <row r="160" spans="1:7" x14ac:dyDescent="0.25">
      <c r="A160" s="3" t="s">
        <v>100</v>
      </c>
      <c r="B160" s="52">
        <v>2570.1</v>
      </c>
      <c r="C160" s="53"/>
      <c r="D160" s="49">
        <v>0</v>
      </c>
      <c r="E160" s="63"/>
      <c r="F160" s="49">
        <v>3152.17</v>
      </c>
    </row>
    <row r="161" spans="1:7" x14ac:dyDescent="0.25">
      <c r="A161" s="3" t="s">
        <v>101</v>
      </c>
      <c r="B161" s="52">
        <v>250</v>
      </c>
      <c r="C161" s="53"/>
      <c r="D161" s="49">
        <v>202.76</v>
      </c>
      <c r="E161" s="63"/>
      <c r="F161" s="49">
        <v>210</v>
      </c>
    </row>
    <row r="162" spans="1:7" x14ac:dyDescent="0.25">
      <c r="A162" s="3" t="s">
        <v>264</v>
      </c>
      <c r="B162" s="52">
        <v>175</v>
      </c>
      <c r="C162" s="53"/>
      <c r="D162" s="49">
        <v>394</v>
      </c>
      <c r="E162" s="63"/>
      <c r="F162" s="49">
        <v>428</v>
      </c>
    </row>
    <row r="163" spans="1:7" x14ac:dyDescent="0.25">
      <c r="A163" s="3" t="s">
        <v>102</v>
      </c>
      <c r="B163" s="54">
        <v>42.75</v>
      </c>
      <c r="C163" s="53"/>
      <c r="D163" s="55">
        <v>687.5</v>
      </c>
      <c r="E163" s="63"/>
      <c r="F163" s="55">
        <v>0</v>
      </c>
    </row>
    <row r="164" spans="1:7" x14ac:dyDescent="0.25">
      <c r="A164" s="3" t="s">
        <v>103</v>
      </c>
      <c r="B164" s="51"/>
      <c r="C164" s="50">
        <f>(B157+B158+B159+B160+B161+B163)</f>
        <v>15274.380000000001</v>
      </c>
      <c r="D164" s="49"/>
      <c r="E164" s="63">
        <f>SUM(D157:D163)</f>
        <v>20002.759999999998</v>
      </c>
      <c r="G164" s="53">
        <f>SUM(F157:F163)</f>
        <v>23981.32</v>
      </c>
    </row>
    <row r="165" spans="1:7" x14ac:dyDescent="0.25">
      <c r="A165" s="3" t="s">
        <v>104</v>
      </c>
      <c r="B165" s="52">
        <v>5100</v>
      </c>
      <c r="C165" s="53"/>
      <c r="D165" s="49">
        <v>4217.5</v>
      </c>
      <c r="E165" s="63"/>
      <c r="F165" s="49">
        <v>6963.61</v>
      </c>
    </row>
    <row r="166" spans="1:7" x14ac:dyDescent="0.25">
      <c r="A166" s="3" t="s">
        <v>105</v>
      </c>
      <c r="B166" s="52">
        <v>700</v>
      </c>
      <c r="C166" s="53"/>
      <c r="D166" s="49">
        <v>700</v>
      </c>
      <c r="E166" s="63"/>
      <c r="F166" s="49">
        <v>800</v>
      </c>
    </row>
    <row r="167" spans="1:7" x14ac:dyDescent="0.25">
      <c r="A167" s="3" t="s">
        <v>106</v>
      </c>
      <c r="B167" s="52">
        <v>721.5</v>
      </c>
      <c r="C167" s="53"/>
      <c r="D167" s="49">
        <v>1242</v>
      </c>
      <c r="E167" s="63"/>
      <c r="F167" s="49">
        <v>814</v>
      </c>
    </row>
    <row r="168" spans="1:7" x14ac:dyDescent="0.25">
      <c r="A168" s="3" t="s">
        <v>107</v>
      </c>
      <c r="B168" s="52">
        <v>435</v>
      </c>
      <c r="C168" s="53"/>
      <c r="D168" s="49">
        <v>213</v>
      </c>
      <c r="E168" s="63"/>
      <c r="F168" s="49">
        <v>1041</v>
      </c>
    </row>
    <row r="169" spans="1:7" x14ac:dyDescent="0.25">
      <c r="A169" s="3" t="s">
        <v>108</v>
      </c>
      <c r="B169" s="52">
        <v>218.3</v>
      </c>
      <c r="C169" s="53"/>
      <c r="D169" s="49">
        <v>124.6</v>
      </c>
      <c r="E169" s="63"/>
      <c r="F169" s="49">
        <v>110</v>
      </c>
    </row>
    <row r="170" spans="1:7" x14ac:dyDescent="0.25">
      <c r="A170" s="3" t="s">
        <v>109</v>
      </c>
      <c r="B170" s="52">
        <v>4198.42</v>
      </c>
      <c r="C170" s="53"/>
      <c r="D170" s="49">
        <v>5020.8999999999996</v>
      </c>
      <c r="E170" s="63"/>
      <c r="F170" s="49">
        <v>6279.09</v>
      </c>
    </row>
    <row r="171" spans="1:7" x14ac:dyDescent="0.25">
      <c r="A171" s="3" t="s">
        <v>110</v>
      </c>
      <c r="B171" s="52">
        <v>3887.11</v>
      </c>
      <c r="C171" s="53"/>
      <c r="D171" s="49">
        <v>5579.96</v>
      </c>
      <c r="E171" s="63"/>
      <c r="F171" s="49">
        <v>5442.41</v>
      </c>
    </row>
    <row r="172" spans="1:7" x14ac:dyDescent="0.25">
      <c r="A172" s="3" t="s">
        <v>111</v>
      </c>
      <c r="B172" s="52">
        <v>900</v>
      </c>
      <c r="C172" s="53"/>
      <c r="D172" s="49">
        <v>990</v>
      </c>
      <c r="E172" s="63"/>
      <c r="F172" s="49">
        <v>1480</v>
      </c>
    </row>
    <row r="173" spans="1:7" x14ac:dyDescent="0.25">
      <c r="A173" s="3" t="s">
        <v>112</v>
      </c>
      <c r="B173" s="52">
        <v>11.76</v>
      </c>
      <c r="C173" s="53"/>
      <c r="D173" s="49">
        <v>68.27</v>
      </c>
      <c r="E173" s="63"/>
      <c r="F173" s="49">
        <v>0</v>
      </c>
    </row>
    <row r="174" spans="1:7" x14ac:dyDescent="0.25">
      <c r="A174" s="3" t="s">
        <v>113</v>
      </c>
      <c r="B174" s="52">
        <v>809.28</v>
      </c>
      <c r="C174" s="53"/>
      <c r="D174" s="49">
        <v>482.84</v>
      </c>
      <c r="E174" s="63"/>
      <c r="F174" s="49">
        <v>882.16</v>
      </c>
    </row>
    <row r="175" spans="1:7" x14ac:dyDescent="0.25">
      <c r="A175" s="3" t="s">
        <v>114</v>
      </c>
      <c r="B175" s="52">
        <v>15295.59</v>
      </c>
      <c r="C175" s="53"/>
      <c r="D175" s="49">
        <v>22490</v>
      </c>
      <c r="E175" s="63"/>
      <c r="F175" s="49">
        <v>12090</v>
      </c>
    </row>
    <row r="176" spans="1:7" x14ac:dyDescent="0.25">
      <c r="A176" s="3" t="s">
        <v>115</v>
      </c>
      <c r="B176" s="52">
        <v>188</v>
      </c>
      <c r="C176" s="53"/>
      <c r="D176" s="49">
        <v>0</v>
      </c>
      <c r="E176" s="63"/>
      <c r="F176" s="49">
        <v>408</v>
      </c>
    </row>
    <row r="177" spans="1:7" x14ac:dyDescent="0.25">
      <c r="A177" s="3" t="s">
        <v>134</v>
      </c>
      <c r="B177" s="54">
        <v>0</v>
      </c>
      <c r="C177" s="53"/>
      <c r="D177" s="55">
        <v>257.83</v>
      </c>
      <c r="E177" s="63"/>
      <c r="F177" s="55">
        <v>452.38</v>
      </c>
    </row>
    <row r="178" spans="1:7" x14ac:dyDescent="0.25">
      <c r="A178" s="3" t="s">
        <v>116</v>
      </c>
      <c r="B178" s="51"/>
      <c r="C178" s="50">
        <f>(B165+B166+B167+B168+B169+B170+B171+B172+B173+B174+B175+B176)</f>
        <v>32464.960000000003</v>
      </c>
      <c r="D178" s="49"/>
      <c r="E178" s="63">
        <f>SUM(D165:D177)</f>
        <v>41386.9</v>
      </c>
      <c r="G178" s="53">
        <f>SUM(F165:F177)</f>
        <v>36762.65</v>
      </c>
    </row>
    <row r="179" spans="1:7" x14ac:dyDescent="0.25">
      <c r="A179" s="3" t="s">
        <v>117</v>
      </c>
      <c r="B179" s="52">
        <v>6060.6</v>
      </c>
      <c r="C179" s="53"/>
      <c r="D179" s="49">
        <v>4349.84</v>
      </c>
      <c r="E179" s="63"/>
      <c r="F179" s="49">
        <v>5264.87</v>
      </c>
    </row>
    <row r="180" spans="1:7" x14ac:dyDescent="0.25">
      <c r="A180" s="3" t="s">
        <v>110</v>
      </c>
      <c r="B180" s="54">
        <v>406.78</v>
      </c>
      <c r="C180" s="53"/>
      <c r="D180" s="55">
        <v>1000</v>
      </c>
      <c r="E180" s="63"/>
      <c r="F180" s="55">
        <v>0</v>
      </c>
    </row>
    <row r="181" spans="1:7" x14ac:dyDescent="0.25">
      <c r="A181" s="3" t="s">
        <v>118</v>
      </c>
      <c r="B181" s="51"/>
      <c r="C181" s="50">
        <f>(B179+B180)</f>
        <v>6467.38</v>
      </c>
      <c r="D181" s="49"/>
      <c r="E181" s="63">
        <f>SUM(D179:D180)</f>
        <v>5349.84</v>
      </c>
      <c r="G181" s="53">
        <f>SUM(F179:F180)</f>
        <v>5264.87</v>
      </c>
    </row>
    <row r="182" spans="1:7" x14ac:dyDescent="0.25">
      <c r="A182" s="3" t="s">
        <v>119</v>
      </c>
      <c r="B182" s="52">
        <v>15876</v>
      </c>
      <c r="C182" s="53"/>
      <c r="D182" s="49">
        <v>16669.8</v>
      </c>
      <c r="E182" s="63"/>
      <c r="F182" s="55">
        <v>20951.849999999999</v>
      </c>
    </row>
    <row r="183" spans="1:7" x14ac:dyDescent="0.25">
      <c r="A183" s="3" t="s">
        <v>120</v>
      </c>
      <c r="B183" s="51"/>
      <c r="C183" s="50">
        <f>(B182)</f>
        <v>15876</v>
      </c>
      <c r="D183" s="49"/>
      <c r="E183" s="63">
        <f>SUM(D182:D182)</f>
        <v>16669.8</v>
      </c>
      <c r="G183" s="53">
        <f>SUM(F182)</f>
        <v>20951.849999999999</v>
      </c>
    </row>
    <row r="184" spans="1:7" x14ac:dyDescent="0.25">
      <c r="A184" s="3" t="s">
        <v>121</v>
      </c>
      <c r="B184" s="52">
        <v>5403</v>
      </c>
      <c r="C184" s="53"/>
      <c r="D184" s="49">
        <v>7156.34</v>
      </c>
      <c r="E184" s="63"/>
      <c r="F184" s="49">
        <v>7679.75</v>
      </c>
    </row>
    <row r="185" spans="1:7" x14ac:dyDescent="0.25">
      <c r="A185" s="3" t="s">
        <v>122</v>
      </c>
      <c r="B185" s="52">
        <v>973</v>
      </c>
      <c r="C185" s="53"/>
      <c r="D185" s="49">
        <v>2039.89</v>
      </c>
      <c r="E185" s="63"/>
      <c r="F185" s="49">
        <v>971</v>
      </c>
    </row>
    <row r="186" spans="1:7" x14ac:dyDescent="0.25">
      <c r="A186" s="3" t="s">
        <v>123</v>
      </c>
      <c r="B186" s="52">
        <v>300</v>
      </c>
      <c r="C186" s="53"/>
      <c r="D186" s="49">
        <v>0</v>
      </c>
      <c r="E186" s="63"/>
      <c r="F186" s="49">
        <v>0</v>
      </c>
    </row>
    <row r="187" spans="1:7" x14ac:dyDescent="0.25">
      <c r="A187" s="3" t="s">
        <v>124</v>
      </c>
      <c r="B187" s="52">
        <v>129.69999999999999</v>
      </c>
      <c r="C187" s="53"/>
      <c r="D187" s="49">
        <v>52.46</v>
      </c>
      <c r="E187" s="63"/>
      <c r="F187" s="49">
        <v>30.44</v>
      </c>
    </row>
    <row r="188" spans="1:7" x14ac:dyDescent="0.25">
      <c r="A188" s="3" t="s">
        <v>125</v>
      </c>
      <c r="B188" s="52">
        <v>18.989999999999998</v>
      </c>
      <c r="C188" s="53"/>
      <c r="D188" s="49">
        <v>405.29</v>
      </c>
      <c r="E188" s="63"/>
      <c r="F188" s="49">
        <v>0</v>
      </c>
    </row>
    <row r="189" spans="1:7" x14ac:dyDescent="0.25">
      <c r="A189" s="3" t="s">
        <v>126</v>
      </c>
      <c r="B189" s="52">
        <v>182.52</v>
      </c>
      <c r="C189" s="53"/>
      <c r="D189" s="49">
        <v>0</v>
      </c>
      <c r="E189" s="63"/>
      <c r="F189" s="49">
        <v>56.67</v>
      </c>
    </row>
    <row r="190" spans="1:7" x14ac:dyDescent="0.25">
      <c r="A190" s="3" t="s">
        <v>127</v>
      </c>
      <c r="B190" s="54">
        <v>95.52</v>
      </c>
      <c r="C190" s="53"/>
      <c r="D190" s="55">
        <v>0</v>
      </c>
      <c r="E190" s="63"/>
      <c r="F190" s="55">
        <v>9.19</v>
      </c>
    </row>
    <row r="191" spans="1:7" x14ac:dyDescent="0.25">
      <c r="A191" s="3" t="s">
        <v>128</v>
      </c>
      <c r="B191" s="51"/>
      <c r="C191" s="50">
        <f>(B184+B185+B186+B187+B188+B189+B190)</f>
        <v>7102.7300000000005</v>
      </c>
      <c r="D191" s="49"/>
      <c r="E191" s="63">
        <f>SUM(D184:D190)</f>
        <v>9653.98</v>
      </c>
      <c r="G191" s="53">
        <f>SUM(F184:F190)</f>
        <v>8747.0500000000011</v>
      </c>
    </row>
    <row r="192" spans="1:7" x14ac:dyDescent="0.25">
      <c r="A192" s="3" t="s">
        <v>129</v>
      </c>
      <c r="B192" s="52">
        <v>644.16999999999996</v>
      </c>
      <c r="C192" s="53"/>
      <c r="D192" s="49">
        <v>1150.77</v>
      </c>
      <c r="E192" s="63"/>
      <c r="F192" s="49">
        <v>987.25</v>
      </c>
    </row>
    <row r="193" spans="1:7" x14ac:dyDescent="0.25">
      <c r="A193" s="3" t="s">
        <v>130</v>
      </c>
      <c r="B193" s="52">
        <v>74.25</v>
      </c>
      <c r="C193" s="53"/>
      <c r="D193" s="49">
        <v>0</v>
      </c>
      <c r="E193" s="63"/>
      <c r="F193" s="49">
        <v>603.82000000000005</v>
      </c>
    </row>
    <row r="194" spans="1:7" x14ac:dyDescent="0.25">
      <c r="A194" s="3" t="s">
        <v>265</v>
      </c>
      <c r="B194" s="52">
        <v>3356.18</v>
      </c>
      <c r="C194" s="53"/>
      <c r="D194" s="49">
        <v>3960.41</v>
      </c>
      <c r="E194" s="63"/>
      <c r="F194" s="49">
        <v>3034.12</v>
      </c>
    </row>
    <row r="195" spans="1:7" x14ac:dyDescent="0.25">
      <c r="A195" s="3" t="s">
        <v>314</v>
      </c>
      <c r="B195" s="52"/>
      <c r="C195" s="53"/>
      <c r="D195" s="49"/>
      <c r="E195" s="63"/>
      <c r="F195" s="49">
        <v>478.05</v>
      </c>
    </row>
    <row r="196" spans="1:7" x14ac:dyDescent="0.25">
      <c r="A196" s="3" t="s">
        <v>266</v>
      </c>
      <c r="B196" s="54">
        <v>0</v>
      </c>
      <c r="C196" s="53"/>
      <c r="D196" s="55">
        <v>220.02</v>
      </c>
      <c r="E196" s="63"/>
      <c r="F196" s="55">
        <v>478.05</v>
      </c>
    </row>
    <row r="197" spans="1:7" x14ac:dyDescent="0.25">
      <c r="A197" s="3" t="s">
        <v>94</v>
      </c>
      <c r="B197" s="51"/>
      <c r="C197" s="50">
        <f>SUM(B192:B194)</f>
        <v>4074.6</v>
      </c>
      <c r="D197" s="49"/>
      <c r="E197" s="63">
        <f>SUM(D192:D196)</f>
        <v>5331.2000000000007</v>
      </c>
      <c r="G197" s="53">
        <f>SUM(F192:F196)</f>
        <v>5581.2900000000009</v>
      </c>
    </row>
    <row r="198" spans="1:7" x14ac:dyDescent="0.25">
      <c r="A198" s="3" t="s">
        <v>267</v>
      </c>
      <c r="B198" s="52">
        <v>0</v>
      </c>
      <c r="C198" s="53"/>
      <c r="D198" s="49">
        <v>34.380000000000003</v>
      </c>
      <c r="E198" s="63"/>
      <c r="F198" s="49">
        <v>281.33</v>
      </c>
    </row>
    <row r="199" spans="1:7" x14ac:dyDescent="0.25">
      <c r="A199" s="3" t="s">
        <v>131</v>
      </c>
      <c r="B199" s="54">
        <v>892.24</v>
      </c>
      <c r="C199" s="53"/>
      <c r="D199" s="55">
        <v>20.75</v>
      </c>
      <c r="E199" s="63"/>
      <c r="F199" s="55">
        <v>0</v>
      </c>
    </row>
    <row r="200" spans="1:7" x14ac:dyDescent="0.25">
      <c r="A200" s="3" t="s">
        <v>132</v>
      </c>
      <c r="B200" s="51"/>
      <c r="C200" s="50">
        <f>SUM(B198:B199)</f>
        <v>892.24</v>
      </c>
      <c r="D200" s="49"/>
      <c r="E200" s="63">
        <f>SUM(D198:D199)</f>
        <v>55.13</v>
      </c>
      <c r="G200" s="53">
        <f>SUM(F198:F199)</f>
        <v>281.33</v>
      </c>
    </row>
    <row r="201" spans="1:7" x14ac:dyDescent="0.25">
      <c r="A201" s="3" t="s">
        <v>315</v>
      </c>
      <c r="B201" s="51">
        <v>2955</v>
      </c>
      <c r="C201" s="50"/>
      <c r="D201" s="49">
        <v>13.25</v>
      </c>
      <c r="E201" s="63"/>
      <c r="F201" s="49">
        <v>802.5</v>
      </c>
    </row>
    <row r="202" spans="1:7" x14ac:dyDescent="0.25">
      <c r="A202" s="3" t="s">
        <v>284</v>
      </c>
      <c r="B202" s="75">
        <v>0</v>
      </c>
      <c r="C202" s="50"/>
      <c r="D202" s="55">
        <v>238</v>
      </c>
      <c r="E202" s="63"/>
      <c r="F202" s="55">
        <v>217.45</v>
      </c>
    </row>
    <row r="203" spans="1:7" x14ac:dyDescent="0.25">
      <c r="A203" s="3" t="s">
        <v>285</v>
      </c>
      <c r="B203" s="51"/>
      <c r="C203" s="50">
        <f>SUM(B201:B202)</f>
        <v>2955</v>
      </c>
      <c r="D203" s="49"/>
      <c r="E203" s="63">
        <f>SUM(D201:D202)</f>
        <v>251.25</v>
      </c>
      <c r="G203" s="53">
        <f>SUM(F201:F202)</f>
        <v>1019.95</v>
      </c>
    </row>
    <row r="204" spans="1:7" x14ac:dyDescent="0.25">
      <c r="A204" s="3" t="s">
        <v>133</v>
      </c>
      <c r="B204" s="52">
        <v>50</v>
      </c>
      <c r="C204" s="53"/>
      <c r="D204" s="49">
        <v>115</v>
      </c>
      <c r="E204" s="63"/>
      <c r="F204" s="49">
        <v>0</v>
      </c>
    </row>
    <row r="205" spans="1:7" x14ac:dyDescent="0.25">
      <c r="A205" s="3" t="s">
        <v>281</v>
      </c>
      <c r="B205" s="52">
        <v>0</v>
      </c>
      <c r="C205" s="53"/>
      <c r="D205" s="49">
        <v>725.76</v>
      </c>
      <c r="E205" s="63"/>
      <c r="F205" s="49">
        <v>0</v>
      </c>
    </row>
    <row r="206" spans="1:7" x14ac:dyDescent="0.25">
      <c r="A206" s="3" t="s">
        <v>282</v>
      </c>
      <c r="B206" s="52">
        <v>1291</v>
      </c>
      <c r="C206" s="53"/>
      <c r="D206" s="49">
        <v>1461</v>
      </c>
      <c r="E206" s="63"/>
      <c r="F206" s="49">
        <v>839.18</v>
      </c>
    </row>
    <row r="207" spans="1:7" x14ac:dyDescent="0.25">
      <c r="A207" s="3" t="s">
        <v>283</v>
      </c>
      <c r="B207" s="52">
        <v>2175</v>
      </c>
      <c r="C207" s="53"/>
      <c r="D207" s="49">
        <v>1522.19</v>
      </c>
      <c r="E207" s="63"/>
      <c r="F207" s="49">
        <v>1367.63</v>
      </c>
    </row>
    <row r="208" spans="1:7" x14ac:dyDescent="0.25">
      <c r="A208" s="3" t="s">
        <v>280</v>
      </c>
      <c r="B208" s="52">
        <v>449.78</v>
      </c>
      <c r="C208" s="53"/>
      <c r="D208" s="49">
        <v>443.28</v>
      </c>
      <c r="E208" s="63"/>
      <c r="F208" s="49">
        <v>333.4</v>
      </c>
    </row>
    <row r="209" spans="1:7" x14ac:dyDescent="0.25">
      <c r="A209" s="3" t="s">
        <v>316</v>
      </c>
      <c r="B209" s="52"/>
      <c r="C209" s="53"/>
      <c r="D209" s="49"/>
      <c r="E209" s="63"/>
      <c r="F209" s="49">
        <v>759.58</v>
      </c>
    </row>
    <row r="210" spans="1:7" x14ac:dyDescent="0.25">
      <c r="A210" s="3" t="s">
        <v>134</v>
      </c>
      <c r="B210" s="52"/>
      <c r="C210" s="53"/>
      <c r="D210" s="49"/>
      <c r="E210" s="63"/>
      <c r="F210" s="55">
        <v>3027.12</v>
      </c>
    </row>
    <row r="211" spans="1:7" x14ac:dyDescent="0.25">
      <c r="A211" s="3" t="s">
        <v>134</v>
      </c>
      <c r="B211" s="51"/>
      <c r="C211" s="50">
        <f>SUM(B204:B208)</f>
        <v>3965.7799999999997</v>
      </c>
      <c r="D211" s="49"/>
      <c r="E211" s="63">
        <f>SUM(D204:D208)</f>
        <v>4267.2300000000005</v>
      </c>
      <c r="G211" s="53">
        <f>SUM(F204:F210)</f>
        <v>6326.91</v>
      </c>
    </row>
    <row r="212" spans="1:7" x14ac:dyDescent="0.25">
      <c r="A212" s="3" t="s">
        <v>294</v>
      </c>
      <c r="B212" s="51">
        <v>175</v>
      </c>
      <c r="C212" s="50"/>
      <c r="D212" s="49">
        <v>743.05</v>
      </c>
      <c r="E212" s="63"/>
      <c r="F212" s="49">
        <v>0</v>
      </c>
    </row>
    <row r="213" spans="1:7" x14ac:dyDescent="0.25">
      <c r="A213" s="3" t="s">
        <v>286</v>
      </c>
      <c r="B213" s="75">
        <v>0</v>
      </c>
      <c r="C213" s="50"/>
      <c r="D213" s="55">
        <f>1960+127.64</f>
        <v>2087.64</v>
      </c>
      <c r="E213" s="63"/>
      <c r="F213" s="55">
        <v>0</v>
      </c>
    </row>
    <row r="214" spans="1:7" x14ac:dyDescent="0.25">
      <c r="A214" s="3" t="s">
        <v>67</v>
      </c>
      <c r="B214" s="51"/>
      <c r="C214" s="50">
        <f>SUM(B212:B213)</f>
        <v>175</v>
      </c>
      <c r="D214" s="49"/>
      <c r="E214" s="64">
        <f>SUM(D212:D213)</f>
        <v>2830.6899999999996</v>
      </c>
      <c r="G214" s="59">
        <f>SUM(F212:F213)</f>
        <v>0</v>
      </c>
    </row>
    <row r="215" spans="1:7" x14ac:dyDescent="0.25">
      <c r="A215" s="1" t="s">
        <v>135</v>
      </c>
      <c r="B215" s="51"/>
      <c r="C215" s="57">
        <f>SUBTOTAL(9,C155:C214)</f>
        <v>89248.07</v>
      </c>
      <c r="D215" s="49"/>
      <c r="E215" s="64">
        <f>SUM(E164,E178,E183,E191,E197,E200,E211,E181,E203,E214)</f>
        <v>105798.78</v>
      </c>
      <c r="G215" s="60">
        <f>SUM(G164+G178+G181+G183+G191+G197+G200+G203+G211+G214)</f>
        <v>108917.22</v>
      </c>
    </row>
    <row r="216" spans="1:7" x14ac:dyDescent="0.25">
      <c r="B216" s="49"/>
      <c r="C216" s="53"/>
      <c r="D216" s="49"/>
      <c r="E216" s="63"/>
    </row>
    <row r="217" spans="1:7" x14ac:dyDescent="0.25">
      <c r="A217" s="1" t="s">
        <v>340</v>
      </c>
      <c r="B217" s="49"/>
      <c r="C217" s="53"/>
      <c r="D217" s="49"/>
      <c r="E217" s="63"/>
    </row>
    <row r="218" spans="1:7" x14ac:dyDescent="0.25">
      <c r="A218" s="3" t="s">
        <v>136</v>
      </c>
      <c r="B218" s="51"/>
      <c r="C218" s="50">
        <v>3384</v>
      </c>
      <c r="D218" s="49"/>
      <c r="E218" s="63">
        <v>2564</v>
      </c>
      <c r="G218" s="53">
        <v>2613.1999999999998</v>
      </c>
    </row>
    <row r="219" spans="1:7" x14ac:dyDescent="0.25">
      <c r="A219" s="3" t="s">
        <v>116</v>
      </c>
      <c r="B219" s="51"/>
      <c r="C219" s="50">
        <v>2944.72</v>
      </c>
      <c r="D219" s="49"/>
      <c r="E219" s="63">
        <v>2961.04</v>
      </c>
      <c r="G219" s="53">
        <v>2210.5</v>
      </c>
    </row>
    <row r="220" spans="1:7" x14ac:dyDescent="0.25">
      <c r="A220" s="3" t="s">
        <v>137</v>
      </c>
      <c r="B220" s="51"/>
      <c r="C220" s="50">
        <v>11001.64</v>
      </c>
      <c r="D220" s="49"/>
      <c r="E220" s="63">
        <v>8050</v>
      </c>
      <c r="G220" s="53">
        <v>8350.01</v>
      </c>
    </row>
    <row r="221" spans="1:7" x14ac:dyDescent="0.25">
      <c r="A221" s="3" t="s">
        <v>138</v>
      </c>
      <c r="B221" s="51"/>
      <c r="C221" s="50">
        <v>697.47</v>
      </c>
      <c r="D221" s="49"/>
      <c r="E221" s="63">
        <v>2069.4899999999998</v>
      </c>
      <c r="G221" s="53">
        <v>862.71</v>
      </c>
    </row>
    <row r="222" spans="1:7" x14ac:dyDescent="0.25">
      <c r="A222" s="3" t="s">
        <v>94</v>
      </c>
      <c r="B222" s="51"/>
      <c r="C222" s="50">
        <v>537.4</v>
      </c>
      <c r="D222" s="49"/>
      <c r="E222" s="63">
        <v>1712.3</v>
      </c>
      <c r="G222" s="53">
        <v>1627.45</v>
      </c>
    </row>
    <row r="223" spans="1:7" x14ac:dyDescent="0.25">
      <c r="A223" s="3" t="s">
        <v>139</v>
      </c>
      <c r="B223" s="51"/>
      <c r="C223" s="50">
        <v>45.2</v>
      </c>
      <c r="D223" s="49"/>
      <c r="E223" s="63">
        <v>0</v>
      </c>
      <c r="G223" s="53">
        <v>0</v>
      </c>
    </row>
    <row r="224" spans="1:7" x14ac:dyDescent="0.25">
      <c r="A224" s="3" t="s">
        <v>140</v>
      </c>
      <c r="B224" s="51"/>
      <c r="C224" s="50">
        <v>3281.54</v>
      </c>
      <c r="D224" s="49"/>
      <c r="E224" s="63">
        <v>156.88</v>
      </c>
      <c r="G224" s="53">
        <v>2452.0700000000002</v>
      </c>
    </row>
    <row r="225" spans="1:7" x14ac:dyDescent="0.25">
      <c r="A225" s="3" t="s">
        <v>141</v>
      </c>
      <c r="B225" s="51"/>
      <c r="C225" s="50">
        <v>618.26</v>
      </c>
      <c r="D225" s="49"/>
      <c r="E225" s="63">
        <v>760.33</v>
      </c>
      <c r="G225" s="53">
        <v>318.12</v>
      </c>
    </row>
    <row r="226" spans="1:7" x14ac:dyDescent="0.25">
      <c r="A226" s="3" t="s">
        <v>142</v>
      </c>
      <c r="B226" s="51"/>
      <c r="C226" s="50">
        <v>1157.0999999999999</v>
      </c>
      <c r="D226" s="49"/>
      <c r="E226" s="63">
        <v>1021.23</v>
      </c>
      <c r="G226" s="53">
        <v>673.77</v>
      </c>
    </row>
    <row r="227" spans="1:7" x14ac:dyDescent="0.25">
      <c r="A227" s="3" t="s">
        <v>143</v>
      </c>
      <c r="B227" s="51"/>
      <c r="C227" s="50">
        <v>200</v>
      </c>
      <c r="D227" s="49"/>
      <c r="E227" s="63">
        <v>0</v>
      </c>
      <c r="G227" s="53">
        <v>458.4</v>
      </c>
    </row>
    <row r="228" spans="1:7" x14ac:dyDescent="0.25">
      <c r="A228" s="3" t="s">
        <v>170</v>
      </c>
      <c r="B228" s="51"/>
      <c r="C228" s="50"/>
      <c r="D228" s="49"/>
      <c r="E228" s="63"/>
      <c r="G228" s="53">
        <v>9.99</v>
      </c>
    </row>
    <row r="229" spans="1:7" x14ac:dyDescent="0.25">
      <c r="A229" s="3" t="s">
        <v>132</v>
      </c>
      <c r="B229" s="51"/>
      <c r="C229" s="50">
        <v>70.959999999999994</v>
      </c>
      <c r="D229" s="49"/>
      <c r="E229" s="63">
        <v>1269.56</v>
      </c>
      <c r="G229" s="53">
        <v>422.43</v>
      </c>
    </row>
    <row r="230" spans="1:7" x14ac:dyDescent="0.25">
      <c r="A230" s="3" t="s">
        <v>144</v>
      </c>
      <c r="B230" s="51"/>
      <c r="C230" s="50">
        <v>149.68</v>
      </c>
      <c r="D230" s="49"/>
      <c r="E230" s="63">
        <v>0</v>
      </c>
      <c r="G230" s="53">
        <v>142.97999999999999</v>
      </c>
    </row>
    <row r="231" spans="1:7" x14ac:dyDescent="0.25">
      <c r="A231" s="3" t="s">
        <v>145</v>
      </c>
      <c r="B231" s="51"/>
      <c r="C231" s="50">
        <v>0</v>
      </c>
      <c r="D231" s="49"/>
      <c r="E231" s="63">
        <v>9.2799999999999994</v>
      </c>
      <c r="G231" s="53">
        <v>0</v>
      </c>
    </row>
    <row r="232" spans="1:7" x14ac:dyDescent="0.25">
      <c r="A232" s="3" t="s">
        <v>146</v>
      </c>
      <c r="B232" s="51"/>
      <c r="C232" s="56">
        <v>1727.6</v>
      </c>
      <c r="D232" s="49"/>
      <c r="E232" s="64">
        <v>2102.29</v>
      </c>
      <c r="G232" s="59">
        <v>1188.8499999999999</v>
      </c>
    </row>
    <row r="233" spans="1:7" x14ac:dyDescent="0.25">
      <c r="A233" s="1" t="s">
        <v>70</v>
      </c>
      <c r="B233" s="51"/>
      <c r="C233" s="57">
        <f>SUBTOTAL(9,C216:C232)</f>
        <v>25815.57</v>
      </c>
      <c r="D233" s="49"/>
      <c r="E233" s="65">
        <f>SUM(E218:E232)</f>
        <v>22676.400000000005</v>
      </c>
      <c r="G233" s="60">
        <f>SUM(G218:G232)</f>
        <v>21330.48</v>
      </c>
    </row>
    <row r="234" spans="1:7" x14ac:dyDescent="0.25">
      <c r="B234" s="49"/>
      <c r="C234" s="53"/>
      <c r="D234" s="49"/>
      <c r="E234" s="63"/>
    </row>
    <row r="235" spans="1:7" x14ac:dyDescent="0.25">
      <c r="A235" s="1" t="s">
        <v>318</v>
      </c>
      <c r="B235" s="49"/>
      <c r="C235" s="53"/>
      <c r="D235" s="49"/>
      <c r="E235" s="63"/>
    </row>
    <row r="236" spans="1:7" x14ac:dyDescent="0.25">
      <c r="A236" s="3" t="s">
        <v>136</v>
      </c>
      <c r="B236" s="51"/>
      <c r="C236" s="50"/>
      <c r="D236" s="49"/>
      <c r="E236" s="63"/>
      <c r="G236" s="53">
        <v>4268</v>
      </c>
    </row>
    <row r="237" spans="1:7" x14ac:dyDescent="0.25">
      <c r="A237" s="3" t="s">
        <v>116</v>
      </c>
      <c r="B237" s="51"/>
      <c r="C237" s="50"/>
      <c r="D237" s="49"/>
      <c r="E237" s="63"/>
      <c r="G237" s="53">
        <v>5382.98</v>
      </c>
    </row>
    <row r="238" spans="1:7" x14ac:dyDescent="0.25">
      <c r="A238" s="3" t="s">
        <v>137</v>
      </c>
      <c r="B238" s="51"/>
      <c r="C238" s="50"/>
      <c r="D238" s="49"/>
      <c r="E238" s="63"/>
      <c r="G238" s="53">
        <v>7153.44</v>
      </c>
    </row>
    <row r="239" spans="1:7" x14ac:dyDescent="0.25">
      <c r="A239" s="3" t="s">
        <v>138</v>
      </c>
      <c r="B239" s="51"/>
      <c r="C239" s="50"/>
      <c r="D239" s="49"/>
      <c r="E239" s="63"/>
      <c r="G239" s="53">
        <v>623.15</v>
      </c>
    </row>
    <row r="240" spans="1:7" x14ac:dyDescent="0.25">
      <c r="A240" s="3" t="s">
        <v>94</v>
      </c>
      <c r="B240" s="51"/>
      <c r="C240" s="50"/>
      <c r="D240" s="49"/>
      <c r="E240" s="63"/>
      <c r="G240" s="53">
        <v>397.9</v>
      </c>
    </row>
    <row r="241" spans="1:7" x14ac:dyDescent="0.25">
      <c r="A241" s="3" t="s">
        <v>140</v>
      </c>
      <c r="B241" s="51"/>
      <c r="C241" s="50"/>
      <c r="D241" s="49"/>
      <c r="E241" s="63"/>
      <c r="G241" s="53">
        <v>4798.26</v>
      </c>
    </row>
    <row r="242" spans="1:7" x14ac:dyDescent="0.25">
      <c r="A242" s="3" t="s">
        <v>141</v>
      </c>
      <c r="B242" s="51"/>
      <c r="C242" s="50"/>
      <c r="D242" s="49"/>
      <c r="E242" s="63"/>
      <c r="G242" s="53">
        <v>163.98</v>
      </c>
    </row>
    <row r="243" spans="1:7" x14ac:dyDescent="0.25">
      <c r="A243" s="3" t="s">
        <v>142</v>
      </c>
      <c r="B243" s="51"/>
      <c r="C243" s="50"/>
      <c r="D243" s="49"/>
      <c r="E243" s="63"/>
      <c r="G243" s="53">
        <v>939.94</v>
      </c>
    </row>
    <row r="244" spans="1:7" x14ac:dyDescent="0.25">
      <c r="A244" s="3" t="s">
        <v>143</v>
      </c>
      <c r="B244" s="51"/>
      <c r="C244" s="50"/>
      <c r="D244" s="49"/>
      <c r="E244" s="63"/>
      <c r="G244" s="53">
        <v>1249.6300000000001</v>
      </c>
    </row>
    <row r="245" spans="1:7" x14ac:dyDescent="0.25">
      <c r="A245" s="3" t="s">
        <v>319</v>
      </c>
      <c r="B245" s="51"/>
      <c r="C245" s="50"/>
      <c r="D245" s="49"/>
      <c r="E245" s="63"/>
      <c r="G245" s="53">
        <v>10984.44</v>
      </c>
    </row>
    <row r="246" spans="1:7" x14ac:dyDescent="0.25">
      <c r="A246" s="3" t="s">
        <v>146</v>
      </c>
      <c r="B246" s="51"/>
      <c r="C246" s="50"/>
      <c r="D246" s="49"/>
      <c r="E246" s="63"/>
      <c r="G246" s="59">
        <v>1925</v>
      </c>
    </row>
    <row r="247" spans="1:7" x14ac:dyDescent="0.25">
      <c r="A247" s="2" t="s">
        <v>134</v>
      </c>
      <c r="B247" s="51"/>
      <c r="C247" s="50"/>
      <c r="D247" s="49"/>
      <c r="E247" s="63"/>
      <c r="G247" s="53">
        <v>8426.66</v>
      </c>
    </row>
    <row r="248" spans="1:7" x14ac:dyDescent="0.25">
      <c r="A248" s="1" t="s">
        <v>342</v>
      </c>
      <c r="B248" s="51"/>
      <c r="C248" s="50"/>
      <c r="D248" s="49"/>
      <c r="E248" s="63"/>
      <c r="G248" s="60">
        <f>SUM(G236:G247)</f>
        <v>46313.380000000005</v>
      </c>
    </row>
    <row r="249" spans="1:7" x14ac:dyDescent="0.25">
      <c r="B249" s="49"/>
      <c r="C249" s="53"/>
      <c r="D249" s="49"/>
      <c r="E249" s="63"/>
    </row>
    <row r="250" spans="1:7" x14ac:dyDescent="0.25">
      <c r="A250" s="1" t="s">
        <v>317</v>
      </c>
      <c r="B250" s="49"/>
      <c r="C250" s="53"/>
      <c r="D250" s="49"/>
      <c r="E250" s="63"/>
    </row>
    <row r="251" spans="1:7" x14ac:dyDescent="0.25">
      <c r="A251" s="3" t="s">
        <v>136</v>
      </c>
      <c r="B251" s="51"/>
      <c r="C251" s="50">
        <v>0</v>
      </c>
      <c r="D251" s="49"/>
      <c r="E251" s="63">
        <v>1934</v>
      </c>
    </row>
    <row r="252" spans="1:7" x14ac:dyDescent="0.25">
      <c r="A252" s="3" t="s">
        <v>116</v>
      </c>
      <c r="B252" s="51"/>
      <c r="C252" s="50">
        <v>0</v>
      </c>
      <c r="D252" s="49"/>
      <c r="E252" s="63">
        <v>2177.5</v>
      </c>
    </row>
    <row r="253" spans="1:7" x14ac:dyDescent="0.25">
      <c r="A253" s="3" t="s">
        <v>137</v>
      </c>
      <c r="B253" s="51"/>
      <c r="C253" s="50">
        <v>0</v>
      </c>
      <c r="D253" s="49"/>
      <c r="E253" s="63">
        <v>2882.29</v>
      </c>
    </row>
    <row r="254" spans="1:7" x14ac:dyDescent="0.25">
      <c r="A254" s="3" t="s">
        <v>138</v>
      </c>
      <c r="B254" s="51"/>
      <c r="C254" s="50">
        <v>0</v>
      </c>
      <c r="D254" s="49"/>
      <c r="E254" s="63">
        <v>53.71</v>
      </c>
    </row>
    <row r="255" spans="1:7" x14ac:dyDescent="0.25">
      <c r="A255" s="3" t="s">
        <v>94</v>
      </c>
      <c r="B255" s="51"/>
      <c r="C255" s="50">
        <v>0</v>
      </c>
      <c r="D255" s="49"/>
      <c r="E255" s="63">
        <v>255.31</v>
      </c>
    </row>
    <row r="256" spans="1:7" x14ac:dyDescent="0.25">
      <c r="A256" s="3" t="s">
        <v>139</v>
      </c>
      <c r="B256" s="51"/>
      <c r="C256" s="50">
        <v>0</v>
      </c>
      <c r="D256" s="49"/>
      <c r="E256" s="63">
        <v>0</v>
      </c>
    </row>
    <row r="257" spans="1:7" x14ac:dyDescent="0.25">
      <c r="A257" s="3" t="s">
        <v>140</v>
      </c>
      <c r="B257" s="51"/>
      <c r="C257" s="50">
        <v>0</v>
      </c>
      <c r="D257" s="49"/>
      <c r="E257" s="63">
        <v>1200.21</v>
      </c>
    </row>
    <row r="258" spans="1:7" x14ac:dyDescent="0.25">
      <c r="A258" s="3" t="s">
        <v>141</v>
      </c>
      <c r="B258" s="51"/>
      <c r="C258" s="50">
        <v>0</v>
      </c>
      <c r="D258" s="49"/>
      <c r="E258" s="63">
        <v>0</v>
      </c>
    </row>
    <row r="259" spans="1:7" x14ac:dyDescent="0.25">
      <c r="A259" s="3" t="s">
        <v>142</v>
      </c>
      <c r="B259" s="51"/>
      <c r="C259" s="50">
        <v>0</v>
      </c>
      <c r="D259" s="49"/>
      <c r="E259" s="63">
        <v>108.72</v>
      </c>
    </row>
    <row r="260" spans="1:7" x14ac:dyDescent="0.25">
      <c r="A260" s="3" t="s">
        <v>279</v>
      </c>
      <c r="B260" s="51"/>
      <c r="C260" s="50">
        <v>0</v>
      </c>
      <c r="D260" s="49"/>
      <c r="E260" s="63">
        <v>1299.54</v>
      </c>
    </row>
    <row r="261" spans="1:7" x14ac:dyDescent="0.25">
      <c r="A261" s="3" t="s">
        <v>132</v>
      </c>
      <c r="B261" s="51"/>
      <c r="C261" s="50">
        <v>0</v>
      </c>
      <c r="D261" s="49"/>
      <c r="E261" s="63">
        <v>416.89</v>
      </c>
    </row>
    <row r="262" spans="1:7" x14ac:dyDescent="0.25">
      <c r="A262" s="3" t="s">
        <v>144</v>
      </c>
      <c r="B262" s="51"/>
      <c r="C262" s="50">
        <v>0</v>
      </c>
      <c r="D262" s="49"/>
      <c r="E262" s="63">
        <v>0</v>
      </c>
    </row>
    <row r="263" spans="1:7" x14ac:dyDescent="0.25">
      <c r="A263" s="3" t="s">
        <v>145</v>
      </c>
      <c r="B263" s="51"/>
      <c r="C263" s="50">
        <v>0</v>
      </c>
      <c r="D263" s="49"/>
      <c r="E263" s="63">
        <v>17.7</v>
      </c>
    </row>
    <row r="264" spans="1:7" x14ac:dyDescent="0.25">
      <c r="A264" s="3" t="s">
        <v>146</v>
      </c>
      <c r="B264" s="51"/>
      <c r="C264" s="56">
        <v>0</v>
      </c>
      <c r="D264" s="49"/>
      <c r="E264" s="64">
        <v>860</v>
      </c>
    </row>
    <row r="265" spans="1:7" x14ac:dyDescent="0.25">
      <c r="A265" s="1" t="s">
        <v>278</v>
      </c>
      <c r="B265" s="51"/>
      <c r="C265" s="57">
        <f>SUBTOTAL(9,C234:C264)</f>
        <v>0</v>
      </c>
      <c r="D265" s="49"/>
      <c r="E265" s="65">
        <f>SUM(E251:E264)</f>
        <v>11205.869999999999</v>
      </c>
    </row>
    <row r="266" spans="1:7" x14ac:dyDescent="0.25">
      <c r="A266" s="1"/>
      <c r="B266" s="51"/>
      <c r="C266" s="50"/>
      <c r="D266" s="49"/>
      <c r="E266" s="63"/>
    </row>
    <row r="267" spans="1:7" x14ac:dyDescent="0.25">
      <c r="A267" s="1" t="s">
        <v>147</v>
      </c>
      <c r="B267" s="49"/>
      <c r="C267" s="53"/>
      <c r="D267" s="49"/>
      <c r="E267" s="63"/>
    </row>
    <row r="268" spans="1:7" x14ac:dyDescent="0.25">
      <c r="A268" s="3" t="s">
        <v>148</v>
      </c>
      <c r="B268" s="51"/>
      <c r="C268" s="50">
        <v>2103.75</v>
      </c>
      <c r="D268" s="49"/>
      <c r="E268" s="63">
        <v>2998.7</v>
      </c>
      <c r="G268" s="53">
        <f>4083.74+945</f>
        <v>5028.74</v>
      </c>
    </row>
    <row r="269" spans="1:7" x14ac:dyDescent="0.25">
      <c r="A269" s="3" t="s">
        <v>149</v>
      </c>
      <c r="B269" s="51"/>
      <c r="C269" s="50">
        <v>270</v>
      </c>
      <c r="D269" s="49"/>
      <c r="E269" s="63">
        <v>200</v>
      </c>
      <c r="G269" s="53">
        <v>200</v>
      </c>
    </row>
    <row r="270" spans="1:7" x14ac:dyDescent="0.25">
      <c r="A270" s="3" t="s">
        <v>321</v>
      </c>
      <c r="B270" s="51"/>
      <c r="C270" s="50"/>
      <c r="D270" s="49"/>
      <c r="E270" s="63"/>
      <c r="G270" s="53">
        <v>400</v>
      </c>
    </row>
    <row r="271" spans="1:7" x14ac:dyDescent="0.25">
      <c r="A271" s="3" t="s">
        <v>150</v>
      </c>
      <c r="B271" s="51"/>
      <c r="C271" s="50">
        <v>183.33</v>
      </c>
      <c r="D271" s="49"/>
      <c r="E271" s="63">
        <v>313.41000000000003</v>
      </c>
      <c r="G271" s="53">
        <v>1129.6199999999999</v>
      </c>
    </row>
    <row r="272" spans="1:7" x14ac:dyDescent="0.25">
      <c r="A272" s="3" t="s">
        <v>151</v>
      </c>
      <c r="B272" s="51"/>
      <c r="C272" s="50">
        <v>0</v>
      </c>
      <c r="D272" s="49"/>
      <c r="E272" s="63">
        <v>39.950000000000003</v>
      </c>
      <c r="G272" s="53">
        <v>0</v>
      </c>
    </row>
    <row r="273" spans="1:7" x14ac:dyDescent="0.25">
      <c r="A273" s="3" t="s">
        <v>268</v>
      </c>
      <c r="B273" s="51"/>
      <c r="C273" s="50">
        <v>4627.12</v>
      </c>
      <c r="D273" s="49"/>
      <c r="E273" s="63">
        <v>5967.33</v>
      </c>
      <c r="G273" s="53">
        <v>6937.94</v>
      </c>
    </row>
    <row r="274" spans="1:7" x14ac:dyDescent="0.25">
      <c r="A274" s="3" t="s">
        <v>152</v>
      </c>
      <c r="B274" s="51"/>
      <c r="C274" s="50">
        <v>10.48</v>
      </c>
      <c r="D274" s="49"/>
      <c r="E274" s="63">
        <v>0</v>
      </c>
      <c r="G274" s="53">
        <v>0</v>
      </c>
    </row>
    <row r="275" spans="1:7" x14ac:dyDescent="0.25">
      <c r="A275" s="3" t="s">
        <v>153</v>
      </c>
      <c r="B275" s="51"/>
      <c r="C275" s="50">
        <v>4.8</v>
      </c>
      <c r="D275" s="49"/>
      <c r="E275" s="63">
        <v>304.35000000000002</v>
      </c>
      <c r="G275" s="53">
        <v>0</v>
      </c>
    </row>
    <row r="276" spans="1:7" x14ac:dyDescent="0.25">
      <c r="A276" s="3" t="s">
        <v>154</v>
      </c>
      <c r="B276" s="51"/>
      <c r="C276" s="50">
        <v>2424.41</v>
      </c>
      <c r="D276" s="49"/>
      <c r="E276" s="63">
        <v>434</v>
      </c>
      <c r="G276" s="53">
        <v>3522</v>
      </c>
    </row>
    <row r="277" spans="1:7" x14ac:dyDescent="0.25">
      <c r="A277" s="3" t="s">
        <v>155</v>
      </c>
      <c r="B277" s="51"/>
      <c r="C277" s="50">
        <v>1011.6</v>
      </c>
      <c r="D277" s="49"/>
      <c r="E277" s="63">
        <v>1722.68</v>
      </c>
      <c r="G277" s="53">
        <v>1028</v>
      </c>
    </row>
    <row r="278" spans="1:7" x14ac:dyDescent="0.25">
      <c r="A278" s="3" t="s">
        <v>156</v>
      </c>
      <c r="B278" s="51"/>
      <c r="C278" s="50">
        <v>978.98</v>
      </c>
      <c r="D278" s="49"/>
      <c r="E278" s="63">
        <v>558.70000000000005</v>
      </c>
      <c r="G278" s="53">
        <v>753.1</v>
      </c>
    </row>
    <row r="279" spans="1:7" x14ac:dyDescent="0.25">
      <c r="A279" s="3" t="s">
        <v>157</v>
      </c>
      <c r="B279" s="51"/>
      <c r="C279" s="50">
        <v>709.72</v>
      </c>
      <c r="D279" s="49"/>
      <c r="E279" s="63">
        <v>68.87</v>
      </c>
      <c r="G279" s="53">
        <v>1028.28</v>
      </c>
    </row>
    <row r="280" spans="1:7" x14ac:dyDescent="0.25">
      <c r="A280" s="3" t="s">
        <v>277</v>
      </c>
      <c r="B280" s="51"/>
      <c r="C280" s="50">
        <v>0</v>
      </c>
      <c r="D280" s="49"/>
      <c r="E280" s="63">
        <v>200</v>
      </c>
      <c r="G280" s="53">
        <v>0</v>
      </c>
    </row>
    <row r="281" spans="1:7" x14ac:dyDescent="0.25">
      <c r="A281" s="3" t="s">
        <v>158</v>
      </c>
      <c r="B281" s="51"/>
      <c r="C281" s="50">
        <v>1393.51</v>
      </c>
      <c r="D281" s="49"/>
      <c r="E281" s="63">
        <v>978.75</v>
      </c>
      <c r="G281" s="53">
        <v>0</v>
      </c>
    </row>
    <row r="282" spans="1:7" x14ac:dyDescent="0.25">
      <c r="A282" s="3" t="s">
        <v>159</v>
      </c>
      <c r="B282" s="51"/>
      <c r="C282" s="50">
        <v>494.38</v>
      </c>
      <c r="D282" s="49"/>
      <c r="E282" s="63">
        <v>238.56</v>
      </c>
      <c r="G282" s="53">
        <v>285</v>
      </c>
    </row>
    <row r="283" spans="1:7" x14ac:dyDescent="0.25">
      <c r="A283" s="3" t="s">
        <v>160</v>
      </c>
      <c r="B283" s="51"/>
      <c r="C283" s="50">
        <v>25902</v>
      </c>
      <c r="D283" s="49"/>
      <c r="E283" s="63">
        <v>26825.64</v>
      </c>
      <c r="G283" s="53">
        <v>42910.96</v>
      </c>
    </row>
    <row r="284" spans="1:7" x14ac:dyDescent="0.25">
      <c r="A284" s="3" t="s">
        <v>320</v>
      </c>
      <c r="B284" s="51"/>
      <c r="C284" s="50"/>
      <c r="D284" s="49"/>
      <c r="E284" s="63"/>
      <c r="G284" s="53">
        <v>3500</v>
      </c>
    </row>
    <row r="285" spans="1:7" x14ac:dyDescent="0.25">
      <c r="A285" s="3" t="s">
        <v>161</v>
      </c>
      <c r="B285" s="51"/>
      <c r="C285" s="50">
        <v>0</v>
      </c>
      <c r="D285" s="49"/>
      <c r="E285" s="63">
        <v>43.43</v>
      </c>
      <c r="G285" s="53">
        <v>430</v>
      </c>
    </row>
    <row r="286" spans="1:7" x14ac:dyDescent="0.25">
      <c r="A286" s="3" t="s">
        <v>162</v>
      </c>
      <c r="B286" s="51"/>
      <c r="C286" s="50">
        <v>1750.97</v>
      </c>
      <c r="D286" s="49"/>
      <c r="E286" s="63">
        <v>1247.75</v>
      </c>
      <c r="G286" s="53">
        <v>350.37</v>
      </c>
    </row>
    <row r="287" spans="1:7" x14ac:dyDescent="0.25">
      <c r="A287" s="3" t="s">
        <v>163</v>
      </c>
      <c r="B287" s="51"/>
      <c r="C287" s="50">
        <v>500</v>
      </c>
      <c r="D287" s="49"/>
      <c r="E287" s="63">
        <v>0</v>
      </c>
      <c r="G287" s="53">
        <v>0</v>
      </c>
    </row>
    <row r="288" spans="1:7" x14ac:dyDescent="0.25">
      <c r="A288" s="3" t="s">
        <v>164</v>
      </c>
      <c r="B288" s="51"/>
      <c r="C288" s="50">
        <v>3214.66</v>
      </c>
      <c r="D288" s="49"/>
      <c r="E288" s="63">
        <v>2053.84</v>
      </c>
      <c r="G288" s="53">
        <v>1186.6600000000001</v>
      </c>
    </row>
    <row r="289" spans="1:7" x14ac:dyDescent="0.25">
      <c r="A289" s="3" t="s">
        <v>269</v>
      </c>
      <c r="B289" s="51"/>
      <c r="C289" s="50">
        <v>184.45</v>
      </c>
      <c r="D289" s="49"/>
      <c r="E289" s="63">
        <v>164.4</v>
      </c>
      <c r="G289" s="53">
        <v>42.32</v>
      </c>
    </row>
    <row r="290" spans="1:7" x14ac:dyDescent="0.25">
      <c r="A290" s="3" t="s">
        <v>165</v>
      </c>
      <c r="B290" s="51"/>
      <c r="C290" s="50">
        <v>104.37</v>
      </c>
      <c r="D290" s="49"/>
      <c r="E290" s="63">
        <v>0</v>
      </c>
      <c r="G290" s="53">
        <v>0</v>
      </c>
    </row>
    <row r="291" spans="1:7" x14ac:dyDescent="0.25">
      <c r="A291" s="3" t="s">
        <v>166</v>
      </c>
      <c r="B291" s="51"/>
      <c r="C291" s="50">
        <v>0</v>
      </c>
      <c r="D291" s="49"/>
      <c r="E291" s="63">
        <v>75</v>
      </c>
      <c r="G291" s="53">
        <v>809.39</v>
      </c>
    </row>
    <row r="292" spans="1:7" x14ac:dyDescent="0.25">
      <c r="A292" s="3" t="s">
        <v>167</v>
      </c>
      <c r="B292" s="51"/>
      <c r="C292" s="50">
        <v>3852.75</v>
      </c>
      <c r="D292" s="49"/>
      <c r="E292" s="63">
        <v>3874.49</v>
      </c>
      <c r="G292" s="53">
        <v>4509.97</v>
      </c>
    </row>
    <row r="293" spans="1:7" x14ac:dyDescent="0.25">
      <c r="A293" s="3" t="s">
        <v>168</v>
      </c>
      <c r="B293" s="51"/>
      <c r="C293" s="50">
        <v>1131.5999999999999</v>
      </c>
      <c r="D293" s="49"/>
      <c r="E293" s="63">
        <v>1075.9100000000001</v>
      </c>
      <c r="G293" s="53">
        <v>1658.04</v>
      </c>
    </row>
    <row r="294" spans="1:7" x14ac:dyDescent="0.25">
      <c r="A294" s="3" t="s">
        <v>276</v>
      </c>
      <c r="B294" s="51"/>
      <c r="C294" s="50">
        <v>0</v>
      </c>
      <c r="D294" s="49"/>
      <c r="E294" s="63">
        <v>446</v>
      </c>
      <c r="G294" s="53">
        <v>224.99</v>
      </c>
    </row>
    <row r="295" spans="1:7" x14ac:dyDescent="0.25">
      <c r="A295" s="3" t="s">
        <v>169</v>
      </c>
      <c r="B295" s="51"/>
      <c r="C295" s="50">
        <v>921.13</v>
      </c>
      <c r="D295" s="49"/>
      <c r="E295" s="63">
        <v>2480</v>
      </c>
      <c r="G295" s="53">
        <v>1100</v>
      </c>
    </row>
    <row r="296" spans="1:7" x14ac:dyDescent="0.25">
      <c r="A296" s="3" t="s">
        <v>170</v>
      </c>
      <c r="B296" s="51"/>
      <c r="C296" s="50">
        <v>66.87</v>
      </c>
      <c r="D296" s="49"/>
      <c r="E296" s="63">
        <v>0</v>
      </c>
      <c r="G296" s="53">
        <v>447.4</v>
      </c>
    </row>
    <row r="297" spans="1:7" x14ac:dyDescent="0.25">
      <c r="A297" s="3" t="s">
        <v>171</v>
      </c>
      <c r="B297" s="51"/>
      <c r="C297" s="50">
        <v>899</v>
      </c>
      <c r="D297" s="49"/>
      <c r="E297" s="63">
        <v>0</v>
      </c>
      <c r="G297" s="53">
        <v>0</v>
      </c>
    </row>
    <row r="298" spans="1:7" x14ac:dyDescent="0.25">
      <c r="A298" s="3" t="s">
        <v>134</v>
      </c>
      <c r="B298" s="51"/>
      <c r="C298" s="56">
        <v>0</v>
      </c>
      <c r="D298" s="49"/>
      <c r="E298" s="64">
        <f>56.96+182.48</f>
        <v>239.44</v>
      </c>
      <c r="G298" s="59">
        <v>3650</v>
      </c>
    </row>
    <row r="299" spans="1:7" x14ac:dyDescent="0.25">
      <c r="A299" s="1" t="s">
        <v>172</v>
      </c>
      <c r="B299" s="51"/>
      <c r="C299" s="57">
        <f>SUBTOTAL(9,C268:C298)</f>
        <v>52739.880000000005</v>
      </c>
      <c r="D299" s="49"/>
      <c r="E299" s="65">
        <f>SUM(E268:E298)</f>
        <v>52551.200000000012</v>
      </c>
      <c r="G299" s="60">
        <f>SUM(G268:G298)</f>
        <v>81132.78</v>
      </c>
    </row>
    <row r="300" spans="1:7" x14ac:dyDescent="0.25">
      <c r="B300" s="49"/>
      <c r="C300" s="53"/>
      <c r="D300" s="49"/>
      <c r="E300" s="63"/>
    </row>
    <row r="301" spans="1:7" x14ac:dyDescent="0.25">
      <c r="A301" s="1" t="s">
        <v>173</v>
      </c>
      <c r="B301" s="51"/>
      <c r="C301" s="56">
        <f>SUBTOTAL(9,C111:C299)</f>
        <v>219555.62000000002</v>
      </c>
      <c r="D301" s="49"/>
      <c r="E301" s="64">
        <f>SUM(E127,E154,E215,E233,E265,E299)</f>
        <v>247791.44</v>
      </c>
      <c r="G301" s="59">
        <f>SUM(G127+G154+G215+G233+G248+G265+G299)</f>
        <v>314739.04000000004</v>
      </c>
    </row>
    <row r="302" spans="1:7" x14ac:dyDescent="0.25">
      <c r="B302" s="49"/>
      <c r="C302" s="53"/>
      <c r="D302" s="49"/>
      <c r="E302" s="63"/>
    </row>
    <row r="303" spans="1:7" ht="17.25" thickBot="1" x14ac:dyDescent="0.4">
      <c r="A303" s="1" t="s">
        <v>174</v>
      </c>
      <c r="B303" s="51"/>
      <c r="C303" s="58">
        <f>(C108-C301)</f>
        <v>23251.289999999979</v>
      </c>
      <c r="D303" s="49"/>
      <c r="E303" s="79">
        <f>E108-E301</f>
        <v>18017.339999999967</v>
      </c>
      <c r="G303" s="82">
        <f>G108-G301</f>
        <v>-23105.630000000005</v>
      </c>
    </row>
    <row r="304" spans="1:7" ht="15.75" thickTop="1" x14ac:dyDescent="0.25"/>
    <row r="305" spans="1:4" x14ac:dyDescent="0.25">
      <c r="A305" s="87" t="s">
        <v>175</v>
      </c>
      <c r="B305" s="87"/>
      <c r="C305" s="87"/>
      <c r="D305" s="87"/>
    </row>
  </sheetData>
  <mergeCells count="1">
    <mergeCell ref="A305:D305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5:H30"/>
  <sheetViews>
    <sheetView topLeftCell="C1" workbookViewId="0">
      <selection activeCell="F27" sqref="F27"/>
    </sheetView>
  </sheetViews>
  <sheetFormatPr baseColWidth="10" defaultRowHeight="15" x14ac:dyDescent="0.25"/>
  <sheetData>
    <row r="5" spans="4:8" ht="18.75" x14ac:dyDescent="0.25">
      <c r="D5" s="9" t="s">
        <v>0</v>
      </c>
    </row>
    <row r="7" spans="4:8" ht="18.75" x14ac:dyDescent="0.25">
      <c r="D7" s="9" t="s">
        <v>176</v>
      </c>
    </row>
    <row r="8" spans="4:8" ht="16.5" x14ac:dyDescent="0.25">
      <c r="D8" s="10" t="s">
        <v>323</v>
      </c>
    </row>
    <row r="16" spans="4:8" ht="18.75" x14ac:dyDescent="0.3">
      <c r="D16" s="12" t="s">
        <v>176</v>
      </c>
      <c r="E16" s="12"/>
      <c r="F16" s="13"/>
      <c r="G16" s="13"/>
      <c r="H16" s="13"/>
    </row>
    <row r="17" spans="4:8" ht="18.75" x14ac:dyDescent="0.3">
      <c r="D17" s="12"/>
      <c r="E17" s="12" t="s">
        <v>177</v>
      </c>
      <c r="F17" s="13"/>
      <c r="G17" s="13"/>
      <c r="H17" s="13"/>
    </row>
    <row r="18" spans="4:8" ht="18.75" x14ac:dyDescent="0.3">
      <c r="D18" s="12"/>
      <c r="E18" s="12" t="s">
        <v>178</v>
      </c>
      <c r="F18" s="13"/>
      <c r="G18" s="13"/>
      <c r="H18" s="13"/>
    </row>
    <row r="19" spans="4:8" ht="18.75" x14ac:dyDescent="0.3">
      <c r="D19" s="12"/>
      <c r="E19" s="12" t="s">
        <v>179</v>
      </c>
      <c r="F19" s="13"/>
      <c r="G19" s="13"/>
      <c r="H19" s="13"/>
    </row>
    <row r="20" spans="4:8" ht="18.75" x14ac:dyDescent="0.3">
      <c r="D20" s="12"/>
      <c r="E20" s="12" t="s">
        <v>180</v>
      </c>
      <c r="F20" s="13"/>
      <c r="G20" s="13"/>
      <c r="H20" s="13"/>
    </row>
    <row r="21" spans="4:8" ht="18.75" x14ac:dyDescent="0.3">
      <c r="D21" s="12"/>
      <c r="E21" s="12" t="s">
        <v>181</v>
      </c>
      <c r="F21" s="13"/>
      <c r="G21" s="13"/>
      <c r="H21" s="13"/>
    </row>
    <row r="22" spans="4:8" ht="18.75" x14ac:dyDescent="0.3">
      <c r="D22" s="12"/>
      <c r="E22" s="12" t="s">
        <v>182</v>
      </c>
      <c r="F22" s="13"/>
      <c r="G22" s="13"/>
      <c r="H22" s="13"/>
    </row>
    <row r="23" spans="4:8" ht="18.75" x14ac:dyDescent="0.3">
      <c r="D23" s="12"/>
      <c r="E23" s="12" t="s">
        <v>183</v>
      </c>
      <c r="F23" s="13"/>
      <c r="G23" s="13"/>
      <c r="H23" s="13"/>
    </row>
    <row r="24" spans="4:8" ht="18.75" x14ac:dyDescent="0.3">
      <c r="D24" s="12"/>
      <c r="E24" s="12" t="s">
        <v>184</v>
      </c>
      <c r="F24" s="13"/>
      <c r="G24" s="13"/>
      <c r="H24" s="13"/>
    </row>
    <row r="25" spans="4:8" ht="18.75" x14ac:dyDescent="0.3">
      <c r="D25" s="12"/>
      <c r="E25" s="12" t="s">
        <v>330</v>
      </c>
      <c r="F25" s="13"/>
      <c r="G25" s="13"/>
      <c r="H25" s="13"/>
    </row>
    <row r="26" spans="4:8" ht="18.75" x14ac:dyDescent="0.3">
      <c r="D26" s="12"/>
      <c r="E26" s="12" t="s">
        <v>329</v>
      </c>
      <c r="F26" s="13"/>
      <c r="G26" s="13"/>
      <c r="H26" s="13"/>
    </row>
    <row r="27" spans="4:8" ht="18.75" x14ac:dyDescent="0.3">
      <c r="D27" s="12"/>
      <c r="E27" s="12" t="s">
        <v>185</v>
      </c>
      <c r="F27" s="13"/>
      <c r="G27" s="13"/>
      <c r="H27" s="13"/>
    </row>
    <row r="28" spans="4:8" ht="18.75" x14ac:dyDescent="0.3">
      <c r="D28" s="12"/>
      <c r="E28" s="12" t="s">
        <v>186</v>
      </c>
      <c r="F28" s="13"/>
      <c r="G28" s="13"/>
      <c r="H28" s="13"/>
    </row>
    <row r="29" spans="4:8" ht="18.75" x14ac:dyDescent="0.3">
      <c r="D29" s="12"/>
      <c r="E29" s="12"/>
      <c r="F29" s="13"/>
      <c r="G29" s="13"/>
      <c r="H29" s="13"/>
    </row>
    <row r="30" spans="4:8" ht="18.75" x14ac:dyDescent="0.3">
      <c r="D30" s="12"/>
      <c r="E30" s="12"/>
      <c r="F30" s="13"/>
      <c r="G30" s="13"/>
      <c r="H30" s="13"/>
    </row>
  </sheetData>
  <pageMargins left="0.7" right="0.7" top="0.75" bottom="0.75" header="0.3" footer="0.3"/>
  <pageSetup orientation="portrait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D5:G23"/>
  <sheetViews>
    <sheetView workbookViewId="0">
      <selection activeCell="E22" sqref="E22"/>
    </sheetView>
  </sheetViews>
  <sheetFormatPr baseColWidth="10" defaultRowHeight="15" x14ac:dyDescent="0.25"/>
  <sheetData>
    <row r="5" spans="4:5" ht="18.75" x14ac:dyDescent="0.25">
      <c r="D5" s="9" t="s">
        <v>0</v>
      </c>
    </row>
    <row r="7" spans="4:5" ht="18.75" x14ac:dyDescent="0.25">
      <c r="D7" s="9" t="s">
        <v>176</v>
      </c>
    </row>
    <row r="8" spans="4:5" ht="16.5" x14ac:dyDescent="0.25">
      <c r="D8" s="10" t="s">
        <v>323</v>
      </c>
    </row>
    <row r="16" spans="4:5" ht="21" x14ac:dyDescent="0.35">
      <c r="D16" s="15" t="s">
        <v>322</v>
      </c>
      <c r="E16" s="16"/>
    </row>
    <row r="17" spans="4:7" ht="21" x14ac:dyDescent="0.35">
      <c r="D17" s="15" t="s">
        <v>188</v>
      </c>
      <c r="E17" s="16"/>
    </row>
    <row r="18" spans="4:7" ht="21" x14ac:dyDescent="0.35">
      <c r="D18" s="16"/>
      <c r="E18" s="15" t="s">
        <v>181</v>
      </c>
    </row>
    <row r="19" spans="4:7" ht="21" x14ac:dyDescent="0.35">
      <c r="D19" s="16"/>
      <c r="E19" s="15" t="s">
        <v>187</v>
      </c>
      <c r="G19" s="14"/>
    </row>
    <row r="20" spans="4:7" ht="21" x14ac:dyDescent="0.35">
      <c r="D20" s="16"/>
      <c r="E20" s="15" t="s">
        <v>325</v>
      </c>
      <c r="G20" s="14"/>
    </row>
    <row r="21" spans="4:7" ht="20.25" x14ac:dyDescent="0.3">
      <c r="E21" s="15" t="s">
        <v>326</v>
      </c>
    </row>
    <row r="22" spans="4:7" ht="20.25" x14ac:dyDescent="0.3">
      <c r="E22" s="15" t="s">
        <v>324</v>
      </c>
    </row>
    <row r="23" spans="4:7" ht="20.25" x14ac:dyDescent="0.3">
      <c r="D23" s="15" t="s">
        <v>147</v>
      </c>
    </row>
  </sheetData>
  <pageMargins left="0.7" right="0.7" top="0.75" bottom="0.75" header="0.3" footer="0.3"/>
  <pageSetup orientation="portrait" horizontalDpi="0" verticalDpi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P31"/>
  <sheetViews>
    <sheetView topLeftCell="A13" workbookViewId="0">
      <selection activeCell="N15" sqref="N15"/>
    </sheetView>
  </sheetViews>
  <sheetFormatPr baseColWidth="10" defaultRowHeight="15" x14ac:dyDescent="0.25"/>
  <cols>
    <col min="8" max="8" width="10.42578125" customWidth="1"/>
    <col min="14" max="14" width="15" customWidth="1"/>
    <col min="16" max="16" width="17.42578125" customWidth="1"/>
  </cols>
  <sheetData>
    <row r="3" spans="1:14" ht="18.75" x14ac:dyDescent="0.25">
      <c r="A3" s="9" t="s">
        <v>180</v>
      </c>
    </row>
    <row r="4" spans="1:14" x14ac:dyDescent="0.25">
      <c r="A4" s="17" t="s">
        <v>323</v>
      </c>
    </row>
    <row r="5" spans="1:14" x14ac:dyDescent="0.25">
      <c r="A5" s="18" t="s">
        <v>189</v>
      </c>
    </row>
    <row r="8" spans="1:14" x14ac:dyDescent="0.25">
      <c r="A8" s="19" t="s">
        <v>190</v>
      </c>
      <c r="B8" s="19"/>
      <c r="C8" s="19"/>
      <c r="D8" s="19"/>
    </row>
    <row r="10" spans="1:14" x14ac:dyDescent="0.25">
      <c r="A10" t="s">
        <v>191</v>
      </c>
    </row>
    <row r="11" spans="1:14" x14ac:dyDescent="0.25">
      <c r="A11" t="s">
        <v>192</v>
      </c>
    </row>
    <row r="13" spans="1:14" x14ac:dyDescent="0.25">
      <c r="A13" s="19" t="s">
        <v>193</v>
      </c>
      <c r="B13" s="19"/>
      <c r="C13" s="19"/>
      <c r="D13" s="19"/>
    </row>
    <row r="14" spans="1:14" x14ac:dyDescent="0.25">
      <c r="N14" s="20" t="s">
        <v>347</v>
      </c>
    </row>
    <row r="15" spans="1:14" x14ac:dyDescent="0.25">
      <c r="N15" t="s">
        <v>194</v>
      </c>
    </row>
    <row r="16" spans="1:14" x14ac:dyDescent="0.25">
      <c r="J16" t="s">
        <v>195</v>
      </c>
      <c r="N16" t="s">
        <v>196</v>
      </c>
    </row>
    <row r="17" spans="1:16" x14ac:dyDescent="0.25">
      <c r="H17" t="s">
        <v>197</v>
      </c>
      <c r="J17" t="s">
        <v>198</v>
      </c>
      <c r="N17" t="s">
        <v>199</v>
      </c>
    </row>
    <row r="18" spans="1:16" x14ac:dyDescent="0.25">
      <c r="H18" s="20"/>
      <c r="J18" s="20"/>
      <c r="N18" s="20"/>
    </row>
    <row r="19" spans="1:16" x14ac:dyDescent="0.25">
      <c r="A19" t="s">
        <v>200</v>
      </c>
      <c r="H19" s="25">
        <f>81371+13728.93</f>
        <v>95099.93</v>
      </c>
      <c r="J19" s="23">
        <f>68645+(SUM(Immobilisation!N36+Immobilisation!N35+Immobilisation!N31))</f>
        <v>72409.789999999994</v>
      </c>
      <c r="N19" s="24">
        <f>H19-J19</f>
        <v>22690.14</v>
      </c>
    </row>
    <row r="20" spans="1:16" x14ac:dyDescent="0.25">
      <c r="A20" s="17" t="s">
        <v>201</v>
      </c>
      <c r="H20" s="25">
        <v>1326</v>
      </c>
      <c r="J20" s="23">
        <v>1326</v>
      </c>
      <c r="N20" s="24">
        <f>H20-J20</f>
        <v>0</v>
      </c>
    </row>
    <row r="21" spans="1:16" x14ac:dyDescent="0.25">
      <c r="H21" s="25">
        <f>SUM(H19:H20)</f>
        <v>96425.93</v>
      </c>
      <c r="J21" s="23">
        <f>SUM(J19:J20)</f>
        <v>73735.789999999994</v>
      </c>
      <c r="N21" s="24">
        <f>H21-J21</f>
        <v>22690.14</v>
      </c>
    </row>
    <row r="23" spans="1:16" x14ac:dyDescent="0.25">
      <c r="A23" s="21" t="s">
        <v>195</v>
      </c>
    </row>
    <row r="25" spans="1:16" x14ac:dyDescent="0.25">
      <c r="A25" t="s">
        <v>202</v>
      </c>
    </row>
    <row r="26" spans="1:16" x14ac:dyDescent="0.25">
      <c r="A26" t="s">
        <v>203</v>
      </c>
    </row>
    <row r="27" spans="1:16" x14ac:dyDescent="0.25">
      <c r="P27" s="17" t="s">
        <v>204</v>
      </c>
    </row>
    <row r="29" spans="1:16" x14ac:dyDescent="0.25">
      <c r="A29" t="s">
        <v>200</v>
      </c>
      <c r="N29" t="s">
        <v>205</v>
      </c>
      <c r="P29" t="s">
        <v>206</v>
      </c>
    </row>
    <row r="30" spans="1:16" x14ac:dyDescent="0.25">
      <c r="A30" s="17" t="s">
        <v>207</v>
      </c>
      <c r="N30" t="s">
        <v>208</v>
      </c>
      <c r="P30" s="22">
        <v>0.55000000000000004</v>
      </c>
    </row>
    <row r="31" spans="1:16" x14ac:dyDescent="0.25">
      <c r="A31" s="17"/>
      <c r="P31" s="17"/>
    </row>
  </sheetData>
  <pageMargins left="0.7" right="0.7" top="0.75" bottom="0.75" header="0.3" footer="0.3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39"/>
  <sheetViews>
    <sheetView topLeftCell="A24" zoomScaleNormal="100" workbookViewId="0">
      <selection activeCell="G39" sqref="G39"/>
    </sheetView>
  </sheetViews>
  <sheetFormatPr baseColWidth="10" defaultRowHeight="15" x14ac:dyDescent="0.25"/>
  <cols>
    <col min="1" max="1" width="27.28515625" customWidth="1"/>
    <col min="2" max="2" width="16.85546875" customWidth="1"/>
    <col min="3" max="3" width="14.42578125" customWidth="1"/>
    <col min="4" max="4" width="17.140625" customWidth="1"/>
    <col min="5" max="5" width="15.42578125" customWidth="1"/>
    <col min="6" max="6" width="18.85546875" customWidth="1"/>
    <col min="7" max="7" width="15.42578125" style="49" customWidth="1"/>
    <col min="8" max="8" width="14.85546875" customWidth="1"/>
  </cols>
  <sheetData>
    <row r="1" spans="1:8" ht="15.75" x14ac:dyDescent="0.25">
      <c r="A1" s="26" t="s">
        <v>0</v>
      </c>
    </row>
    <row r="2" spans="1:8" ht="15.75" x14ac:dyDescent="0.25">
      <c r="A2" s="26" t="s">
        <v>211</v>
      </c>
    </row>
    <row r="3" spans="1:8" ht="15.75" x14ac:dyDescent="0.25">
      <c r="A3" s="26" t="s">
        <v>331</v>
      </c>
    </row>
    <row r="5" spans="1:8" x14ac:dyDescent="0.25">
      <c r="B5" s="4" t="s">
        <v>4</v>
      </c>
      <c r="C5" s="7"/>
      <c r="D5" s="4" t="s">
        <v>259</v>
      </c>
      <c r="E5" s="62"/>
      <c r="F5" s="49" t="s">
        <v>296</v>
      </c>
      <c r="H5" s="28" t="s">
        <v>332</v>
      </c>
    </row>
    <row r="7" spans="1:8" x14ac:dyDescent="0.25">
      <c r="A7" s="1" t="s">
        <v>210</v>
      </c>
      <c r="C7" s="7"/>
      <c r="E7" s="62"/>
      <c r="F7" s="49"/>
      <c r="G7" s="53"/>
    </row>
    <row r="8" spans="1:8" x14ac:dyDescent="0.25">
      <c r="A8" s="3" t="s">
        <v>295</v>
      </c>
      <c r="C8" s="7"/>
      <c r="E8" s="62"/>
      <c r="F8" s="49"/>
      <c r="G8" s="53">
        <v>114.16</v>
      </c>
      <c r="H8" s="49">
        <f>G8-E8</f>
        <v>114.16</v>
      </c>
    </row>
    <row r="9" spans="1:8" x14ac:dyDescent="0.25">
      <c r="A9" s="3" t="s">
        <v>6</v>
      </c>
      <c r="B9" s="51"/>
      <c r="C9" s="50">
        <v>20369.2</v>
      </c>
      <c r="D9" s="49"/>
      <c r="E9" s="63">
        <v>20094.490000000002</v>
      </c>
      <c r="F9" s="49"/>
      <c r="G9" s="53">
        <v>18791.54</v>
      </c>
      <c r="H9" s="49">
        <f t="shared" ref="H9:H39" si="0">G9-E9</f>
        <v>-1302.9500000000007</v>
      </c>
    </row>
    <row r="10" spans="1:8" x14ac:dyDescent="0.25">
      <c r="A10" s="3" t="s">
        <v>7</v>
      </c>
      <c r="B10" s="52">
        <v>96.8</v>
      </c>
      <c r="C10" s="53"/>
      <c r="D10" s="49">
        <v>24.35</v>
      </c>
      <c r="E10" s="63"/>
      <c r="F10" s="49">
        <v>1895.99</v>
      </c>
      <c r="G10" s="53"/>
      <c r="H10" s="49">
        <f t="shared" si="0"/>
        <v>0</v>
      </c>
    </row>
    <row r="11" spans="1:8" x14ac:dyDescent="0.25">
      <c r="A11" s="3" t="s">
        <v>8</v>
      </c>
      <c r="B11" s="52">
        <v>4000.77</v>
      </c>
      <c r="C11" s="53"/>
      <c r="D11" s="49">
        <v>5093.99</v>
      </c>
      <c r="E11" s="63"/>
      <c r="F11" s="49">
        <v>4140</v>
      </c>
      <c r="G11" s="53"/>
      <c r="H11" s="49"/>
    </row>
    <row r="12" spans="1:8" x14ac:dyDescent="0.25">
      <c r="A12" s="3" t="s">
        <v>9</v>
      </c>
      <c r="B12" s="51"/>
      <c r="C12" s="50">
        <f>(B10+B11)</f>
        <v>4097.57</v>
      </c>
      <c r="D12" s="49"/>
      <c r="E12" s="63">
        <f>SUM(D10:D11)</f>
        <v>5118.34</v>
      </c>
      <c r="F12" s="49"/>
      <c r="G12" s="53">
        <v>6035.99</v>
      </c>
      <c r="H12" s="49"/>
    </row>
    <row r="13" spans="1:8" x14ac:dyDescent="0.25">
      <c r="A13" s="3" t="s">
        <v>10</v>
      </c>
      <c r="B13" s="51"/>
      <c r="C13" s="50">
        <v>419.34</v>
      </c>
      <c r="D13" s="49"/>
      <c r="E13" s="63">
        <v>218.86</v>
      </c>
      <c r="F13" s="49"/>
      <c r="G13" s="53">
        <v>154</v>
      </c>
      <c r="H13" s="49"/>
    </row>
    <row r="14" spans="1:8" x14ac:dyDescent="0.25">
      <c r="A14" s="3" t="s">
        <v>11</v>
      </c>
      <c r="B14" s="51"/>
      <c r="C14" s="50">
        <v>-95.68</v>
      </c>
      <c r="D14" s="49"/>
      <c r="E14" s="63">
        <v>0</v>
      </c>
      <c r="F14" s="49"/>
      <c r="G14" s="53">
        <v>0</v>
      </c>
      <c r="H14" s="49">
        <f t="shared" si="0"/>
        <v>0</v>
      </c>
    </row>
    <row r="15" spans="1:8" x14ac:dyDescent="0.25">
      <c r="A15" s="3" t="s">
        <v>297</v>
      </c>
      <c r="B15" s="52">
        <v>0</v>
      </c>
      <c r="C15" s="53"/>
      <c r="D15" s="49">
        <v>0</v>
      </c>
      <c r="E15" s="63"/>
      <c r="F15" s="49">
        <v>4498.79</v>
      </c>
      <c r="G15" s="53"/>
      <c r="H15" s="49">
        <f>F15-D15</f>
        <v>4498.79</v>
      </c>
    </row>
    <row r="16" spans="1:8" x14ac:dyDescent="0.25">
      <c r="A16" s="3" t="s">
        <v>298</v>
      </c>
      <c r="B16" s="52">
        <v>1211.77</v>
      </c>
      <c r="C16" s="53"/>
      <c r="D16" s="49">
        <v>0</v>
      </c>
      <c r="E16" s="63"/>
      <c r="F16" s="49">
        <v>2529.69</v>
      </c>
      <c r="G16" s="53"/>
      <c r="H16" s="49">
        <f t="shared" ref="H16:H17" si="1">F16-D16</f>
        <v>2529.69</v>
      </c>
    </row>
    <row r="17" spans="1:8" x14ac:dyDescent="0.25">
      <c r="A17" s="3" t="s">
        <v>299</v>
      </c>
      <c r="B17" s="54"/>
      <c r="C17" s="53"/>
      <c r="D17" s="55"/>
      <c r="E17" s="63"/>
      <c r="F17" s="55">
        <v>58</v>
      </c>
      <c r="G17" s="53"/>
      <c r="H17" s="49">
        <f t="shared" si="1"/>
        <v>58</v>
      </c>
    </row>
    <row r="18" spans="1:8" x14ac:dyDescent="0.25">
      <c r="A18" s="3" t="s">
        <v>13</v>
      </c>
      <c r="B18" s="51"/>
      <c r="C18" s="56">
        <f>(B15+B16)</f>
        <v>1211.77</v>
      </c>
      <c r="D18" s="49"/>
      <c r="E18" s="64">
        <f>D15+D16</f>
        <v>0</v>
      </c>
      <c r="F18" s="49"/>
      <c r="G18" s="59">
        <f>SUM(F15:F17)</f>
        <v>7086.48</v>
      </c>
      <c r="H18" s="49"/>
    </row>
    <row r="19" spans="1:8" x14ac:dyDescent="0.25">
      <c r="A19" s="1" t="s">
        <v>14</v>
      </c>
      <c r="B19" s="51"/>
      <c r="C19" s="57">
        <f>SUBTOTAL(9,C6:C18)</f>
        <v>26002.2</v>
      </c>
      <c r="D19" s="49"/>
      <c r="E19" s="65">
        <f>SUBTOTAL(9,E6:E18)</f>
        <v>25431.690000000002</v>
      </c>
      <c r="F19" s="49"/>
      <c r="G19" s="59">
        <f>SUM(G8:G18)</f>
        <v>32182.170000000002</v>
      </c>
      <c r="H19" s="49">
        <f>G19-E19</f>
        <v>6750.48</v>
      </c>
    </row>
    <row r="20" spans="1:8" x14ac:dyDescent="0.25">
      <c r="F20" s="52"/>
      <c r="H20" s="49"/>
    </row>
    <row r="21" spans="1:8" x14ac:dyDescent="0.25">
      <c r="F21" s="52"/>
      <c r="H21" s="49"/>
    </row>
    <row r="22" spans="1:8" x14ac:dyDescent="0.25">
      <c r="A22" s="1" t="s">
        <v>73</v>
      </c>
      <c r="B22" s="49"/>
      <c r="C22" s="53"/>
      <c r="D22" s="49"/>
      <c r="E22" s="63"/>
      <c r="F22" s="49"/>
      <c r="G22" s="53"/>
      <c r="H22" s="49"/>
    </row>
    <row r="23" spans="1:8" x14ac:dyDescent="0.25">
      <c r="A23" s="3" t="s">
        <v>74</v>
      </c>
      <c r="B23" s="51"/>
      <c r="C23" s="50">
        <v>3757.23</v>
      </c>
      <c r="D23" s="49"/>
      <c r="E23" s="63">
        <v>4575.07</v>
      </c>
      <c r="F23" s="49"/>
      <c r="G23" s="53">
        <v>6747.63</v>
      </c>
      <c r="H23" s="49">
        <f t="shared" si="0"/>
        <v>2172.5600000000004</v>
      </c>
    </row>
    <row r="24" spans="1:8" x14ac:dyDescent="0.25">
      <c r="A24" s="3" t="s">
        <v>75</v>
      </c>
      <c r="B24" s="52"/>
      <c r="C24" s="53"/>
      <c r="D24" s="49">
        <v>100</v>
      </c>
      <c r="E24" s="63"/>
      <c r="F24" s="49">
        <v>0</v>
      </c>
      <c r="G24" s="53"/>
      <c r="H24" s="49">
        <f t="shared" si="0"/>
        <v>0</v>
      </c>
    </row>
    <row r="25" spans="1:8" ht="15.75" thickBot="1" x14ac:dyDescent="0.3">
      <c r="A25" s="3" t="s">
        <v>76</v>
      </c>
      <c r="B25" s="54">
        <v>0</v>
      </c>
      <c r="C25" s="53"/>
      <c r="D25" s="49">
        <v>0</v>
      </c>
      <c r="E25" s="63"/>
      <c r="F25" s="81">
        <v>0</v>
      </c>
      <c r="G25" s="53"/>
      <c r="H25" s="49">
        <f t="shared" si="0"/>
        <v>0</v>
      </c>
    </row>
    <row r="26" spans="1:8" x14ac:dyDescent="0.25">
      <c r="A26" s="3" t="s">
        <v>77</v>
      </c>
      <c r="B26" s="51"/>
      <c r="C26" s="50">
        <f>(B24+B25)</f>
        <v>0</v>
      </c>
      <c r="D26" s="49"/>
      <c r="E26" s="63">
        <f>SUM(D24:D25)</f>
        <v>100</v>
      </c>
      <c r="F26" s="49"/>
      <c r="G26" s="53">
        <f>SUM(F24:F25)</f>
        <v>0</v>
      </c>
      <c r="H26" s="49">
        <f>G26-E26</f>
        <v>-100</v>
      </c>
    </row>
    <row r="27" spans="1:8" x14ac:dyDescent="0.25">
      <c r="A27" s="3" t="s">
        <v>261</v>
      </c>
      <c r="B27" s="51"/>
      <c r="C27" s="50"/>
      <c r="D27" s="49">
        <v>1842</v>
      </c>
      <c r="E27" s="63"/>
      <c r="F27" s="49">
        <v>0</v>
      </c>
      <c r="G27" s="53"/>
      <c r="H27" s="49">
        <f t="shared" si="0"/>
        <v>0</v>
      </c>
    </row>
    <row r="28" spans="1:8" ht="15.75" thickBot="1" x14ac:dyDescent="0.3">
      <c r="A28" s="3" t="s">
        <v>8</v>
      </c>
      <c r="B28" s="54">
        <v>564.02</v>
      </c>
      <c r="C28" s="53"/>
      <c r="D28" s="55">
        <v>170.56</v>
      </c>
      <c r="E28" s="63"/>
      <c r="F28" s="81">
        <v>3269.97</v>
      </c>
      <c r="G28" s="53"/>
      <c r="H28" s="49">
        <f t="shared" si="0"/>
        <v>0</v>
      </c>
    </row>
    <row r="29" spans="1:8" x14ac:dyDescent="0.25">
      <c r="A29" s="3" t="s">
        <v>9</v>
      </c>
      <c r="B29" s="51"/>
      <c r="C29" s="50">
        <f>(B28)</f>
        <v>564.02</v>
      </c>
      <c r="D29" s="49"/>
      <c r="E29" s="63">
        <f>SUM(D27:D28)</f>
        <v>2012.56</v>
      </c>
      <c r="F29" s="49"/>
      <c r="G29" s="53">
        <f>SUM(F27:F28)</f>
        <v>3269.97</v>
      </c>
      <c r="H29" s="49">
        <f>G29-E29</f>
        <v>1257.4099999999999</v>
      </c>
    </row>
    <row r="30" spans="1:8" x14ac:dyDescent="0.25">
      <c r="A30" s="3" t="s">
        <v>12</v>
      </c>
      <c r="B30" s="54">
        <v>456.84</v>
      </c>
      <c r="C30" s="53"/>
      <c r="D30" s="49">
        <v>150</v>
      </c>
      <c r="E30" s="63"/>
      <c r="F30" s="49">
        <v>0</v>
      </c>
      <c r="G30" s="53"/>
      <c r="H30" s="49">
        <f t="shared" ref="H30:H31" si="2">F30-D30</f>
        <v>-150</v>
      </c>
    </row>
    <row r="31" spans="1:8" x14ac:dyDescent="0.25">
      <c r="A31" s="3" t="s">
        <v>262</v>
      </c>
      <c r="B31" s="52"/>
      <c r="C31" s="53"/>
      <c r="D31" s="49">
        <v>2043.24</v>
      </c>
      <c r="E31" s="63"/>
      <c r="F31" s="49">
        <v>0</v>
      </c>
      <c r="G31" s="53"/>
      <c r="H31" s="49">
        <f t="shared" si="2"/>
        <v>-2043.24</v>
      </c>
    </row>
    <row r="32" spans="1:8" x14ac:dyDescent="0.25">
      <c r="A32" s="3" t="s">
        <v>309</v>
      </c>
      <c r="B32" s="52"/>
      <c r="C32" s="53"/>
      <c r="D32" s="49"/>
      <c r="E32" s="63"/>
      <c r="F32" s="49">
        <v>500</v>
      </c>
      <c r="G32" s="53"/>
      <c r="H32" s="49">
        <f>F32-D32</f>
        <v>500</v>
      </c>
    </row>
    <row r="33" spans="1:8" x14ac:dyDescent="0.25">
      <c r="A33" s="3" t="s">
        <v>310</v>
      </c>
      <c r="B33" s="52"/>
      <c r="C33" s="53"/>
      <c r="D33" s="49"/>
      <c r="E33" s="63"/>
      <c r="F33" s="49">
        <v>1206.8399999999999</v>
      </c>
      <c r="G33" s="53"/>
      <c r="H33" s="49">
        <f t="shared" ref="H33:H35" si="3">F33-D33</f>
        <v>1206.8399999999999</v>
      </c>
    </row>
    <row r="34" spans="1:8" x14ac:dyDescent="0.25">
      <c r="A34" s="3" t="s">
        <v>311</v>
      </c>
      <c r="B34" s="52"/>
      <c r="C34" s="53"/>
      <c r="D34" s="49"/>
      <c r="E34" s="63"/>
      <c r="F34" s="49">
        <v>750</v>
      </c>
      <c r="G34" s="53"/>
      <c r="H34" s="49">
        <f t="shared" si="3"/>
        <v>750</v>
      </c>
    </row>
    <row r="35" spans="1:8" ht="15.75" thickBot="1" x14ac:dyDescent="0.3">
      <c r="A35" s="3" t="s">
        <v>312</v>
      </c>
      <c r="B35" s="52"/>
      <c r="C35" s="53"/>
      <c r="D35" s="49"/>
      <c r="E35" s="63"/>
      <c r="F35" s="81">
        <v>3932.46</v>
      </c>
      <c r="G35" s="53"/>
      <c r="H35" s="49">
        <f t="shared" si="3"/>
        <v>3932.46</v>
      </c>
    </row>
    <row r="36" spans="1:8" ht="15.75" thickBot="1" x14ac:dyDescent="0.3">
      <c r="A36" s="3" t="s">
        <v>13</v>
      </c>
      <c r="B36" s="51"/>
      <c r="C36" s="56">
        <f>(B30)</f>
        <v>456.84</v>
      </c>
      <c r="D36" s="49"/>
      <c r="E36" s="64">
        <f>SUM(D30:D31)</f>
        <v>2193.2399999999998</v>
      </c>
      <c r="F36" s="49"/>
      <c r="G36" s="80">
        <f>SUM(F30:F35)</f>
        <v>6389.3</v>
      </c>
      <c r="H36" s="49">
        <f>G36-E36</f>
        <v>4196.0600000000004</v>
      </c>
    </row>
    <row r="37" spans="1:8" x14ac:dyDescent="0.25">
      <c r="A37" s="1" t="s">
        <v>78</v>
      </c>
      <c r="B37" s="51"/>
      <c r="C37" s="57">
        <f>SUBTOTAL(9,C21:C36)</f>
        <v>4778.09</v>
      </c>
      <c r="D37" s="49"/>
      <c r="E37" s="65">
        <f>SUM(E23,E26,E29,E36)</f>
        <v>8880.869999999999</v>
      </c>
      <c r="F37" s="49"/>
      <c r="G37" s="83">
        <f>SUM(G23+G26+G29+G36)</f>
        <v>16406.900000000001</v>
      </c>
      <c r="H37" s="49">
        <f>G37-E37</f>
        <v>7526.0300000000025</v>
      </c>
    </row>
    <row r="38" spans="1:8" x14ac:dyDescent="0.25">
      <c r="F38" s="49"/>
      <c r="H38" s="49"/>
    </row>
    <row r="39" spans="1:8" x14ac:dyDescent="0.25">
      <c r="A39" t="s">
        <v>174</v>
      </c>
      <c r="C39" s="27">
        <f>C19-C37</f>
        <v>21224.11</v>
      </c>
      <c r="E39" s="27">
        <f>E19-E37</f>
        <v>16550.820000000003</v>
      </c>
      <c r="F39" s="49"/>
      <c r="G39" s="49">
        <f>G19-G37</f>
        <v>15775.27</v>
      </c>
      <c r="H39" s="49">
        <f t="shared" si="0"/>
        <v>-775.55000000000291</v>
      </c>
    </row>
  </sheetData>
  <pageMargins left="0.7" right="0.7" top="0.75" bottom="0.75" header="0.3" footer="0.3"/>
  <pageSetup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9"/>
  <sheetViews>
    <sheetView topLeftCell="A27" zoomScale="140" zoomScaleNormal="140" workbookViewId="0">
      <selection activeCell="G39" sqref="G39"/>
    </sheetView>
  </sheetViews>
  <sheetFormatPr baseColWidth="10" defaultRowHeight="15" x14ac:dyDescent="0.25"/>
  <cols>
    <col min="1" max="1" width="25.140625" customWidth="1"/>
    <col min="2" max="2" width="17.42578125" customWidth="1"/>
    <col min="4" max="4" width="18" customWidth="1"/>
    <col min="6" max="6" width="26" customWidth="1"/>
    <col min="7" max="7" width="13.85546875" style="61" customWidth="1"/>
    <col min="8" max="8" width="14" style="49" customWidth="1"/>
  </cols>
  <sheetData>
    <row r="1" spans="1:8" ht="15.75" x14ac:dyDescent="0.25">
      <c r="A1" s="26" t="s">
        <v>0</v>
      </c>
    </row>
    <row r="2" spans="1:8" ht="15.75" x14ac:dyDescent="0.25">
      <c r="A2" s="26" t="s">
        <v>213</v>
      </c>
    </row>
    <row r="3" spans="1:8" ht="15.75" x14ac:dyDescent="0.25">
      <c r="A3" s="26" t="s">
        <v>331</v>
      </c>
    </row>
    <row r="5" spans="1:8" x14ac:dyDescent="0.25">
      <c r="A5" s="3" t="s">
        <v>3</v>
      </c>
      <c r="B5" s="4" t="s">
        <v>4</v>
      </c>
      <c r="C5" s="7"/>
      <c r="D5" s="4" t="s">
        <v>259</v>
      </c>
      <c r="E5" s="62"/>
      <c r="F5" s="49" t="s">
        <v>296</v>
      </c>
      <c r="G5" s="62"/>
      <c r="H5" s="66" t="s">
        <v>332</v>
      </c>
    </row>
    <row r="7" spans="1:8" x14ac:dyDescent="0.25">
      <c r="A7" s="1" t="s">
        <v>147</v>
      </c>
      <c r="C7" s="7"/>
      <c r="E7" s="7"/>
      <c r="F7" s="7"/>
      <c r="G7" s="62"/>
    </row>
    <row r="8" spans="1:8" x14ac:dyDescent="0.25">
      <c r="A8" s="3" t="s">
        <v>148</v>
      </c>
      <c r="B8" s="51"/>
      <c r="C8" s="50">
        <v>2103.75</v>
      </c>
      <c r="D8" s="49"/>
      <c r="E8" s="63">
        <v>2998.7</v>
      </c>
      <c r="F8" s="49"/>
      <c r="G8" s="53">
        <f>4083.74+945</f>
        <v>5028.74</v>
      </c>
      <c r="H8" s="49">
        <f>G8-E8</f>
        <v>2030.04</v>
      </c>
    </row>
    <row r="9" spans="1:8" x14ac:dyDescent="0.25">
      <c r="A9" s="3" t="s">
        <v>149</v>
      </c>
      <c r="B9" s="51"/>
      <c r="C9" s="50">
        <v>270</v>
      </c>
      <c r="D9" s="49"/>
      <c r="E9" s="63">
        <v>200</v>
      </c>
      <c r="F9" s="49"/>
      <c r="G9" s="53">
        <v>200</v>
      </c>
      <c r="H9" s="49">
        <f t="shared" ref="H9:H39" si="0">G9-E9</f>
        <v>0</v>
      </c>
    </row>
    <row r="10" spans="1:8" x14ac:dyDescent="0.25">
      <c r="A10" s="3" t="s">
        <v>321</v>
      </c>
      <c r="B10" s="51"/>
      <c r="C10" s="50"/>
      <c r="D10" s="49"/>
      <c r="E10" s="63"/>
      <c r="F10" s="49"/>
      <c r="G10" s="53">
        <v>400</v>
      </c>
      <c r="H10" s="49">
        <f t="shared" si="0"/>
        <v>400</v>
      </c>
    </row>
    <row r="11" spans="1:8" x14ac:dyDescent="0.25">
      <c r="A11" s="3" t="s">
        <v>150</v>
      </c>
      <c r="B11" s="51"/>
      <c r="C11" s="50">
        <v>183.33</v>
      </c>
      <c r="D11" s="49"/>
      <c r="E11" s="63">
        <v>313.41000000000003</v>
      </c>
      <c r="F11" s="49"/>
      <c r="G11" s="53">
        <v>1129.6199999999999</v>
      </c>
      <c r="H11" s="49">
        <f t="shared" si="0"/>
        <v>816.20999999999981</v>
      </c>
    </row>
    <row r="12" spans="1:8" x14ac:dyDescent="0.25">
      <c r="A12" s="3" t="s">
        <v>151</v>
      </c>
      <c r="B12" s="51"/>
      <c r="C12" s="50">
        <v>0</v>
      </c>
      <c r="D12" s="49"/>
      <c r="E12" s="63">
        <v>39.950000000000003</v>
      </c>
      <c r="F12" s="49"/>
      <c r="G12" s="53">
        <v>0</v>
      </c>
      <c r="H12" s="49">
        <f t="shared" si="0"/>
        <v>-39.950000000000003</v>
      </c>
    </row>
    <row r="13" spans="1:8" x14ac:dyDescent="0.25">
      <c r="A13" s="3" t="s">
        <v>268</v>
      </c>
      <c r="B13" s="51"/>
      <c r="C13" s="50">
        <v>4627.12</v>
      </c>
      <c r="D13" s="49"/>
      <c r="E13" s="63">
        <v>5967.33</v>
      </c>
      <c r="F13" s="49"/>
      <c r="G13" s="53">
        <v>6937.94</v>
      </c>
      <c r="H13" s="49">
        <f t="shared" si="0"/>
        <v>970.60999999999967</v>
      </c>
    </row>
    <row r="14" spans="1:8" x14ac:dyDescent="0.25">
      <c r="A14" s="3" t="s">
        <v>152</v>
      </c>
      <c r="B14" s="51"/>
      <c r="C14" s="50">
        <v>10.48</v>
      </c>
      <c r="D14" s="49"/>
      <c r="E14" s="63">
        <v>0</v>
      </c>
      <c r="F14" s="49"/>
      <c r="G14" s="53">
        <v>0</v>
      </c>
      <c r="H14" s="49">
        <f t="shared" si="0"/>
        <v>0</v>
      </c>
    </row>
    <row r="15" spans="1:8" x14ac:dyDescent="0.25">
      <c r="A15" s="3" t="s">
        <v>153</v>
      </c>
      <c r="B15" s="51"/>
      <c r="C15" s="50">
        <v>4.8</v>
      </c>
      <c r="D15" s="49"/>
      <c r="E15" s="63">
        <v>304.35000000000002</v>
      </c>
      <c r="F15" s="49"/>
      <c r="G15" s="53">
        <v>0</v>
      </c>
      <c r="H15" s="49">
        <f t="shared" si="0"/>
        <v>-304.35000000000002</v>
      </c>
    </row>
    <row r="16" spans="1:8" x14ac:dyDescent="0.25">
      <c r="A16" s="3" t="s">
        <v>154</v>
      </c>
      <c r="B16" s="51"/>
      <c r="C16" s="50">
        <v>2424.41</v>
      </c>
      <c r="D16" s="49"/>
      <c r="E16" s="63">
        <v>434</v>
      </c>
      <c r="F16" s="49"/>
      <c r="G16" s="53">
        <v>3522</v>
      </c>
      <c r="H16" s="49">
        <f t="shared" si="0"/>
        <v>3088</v>
      </c>
    </row>
    <row r="17" spans="1:8" x14ac:dyDescent="0.25">
      <c r="A17" s="3" t="s">
        <v>155</v>
      </c>
      <c r="B17" s="51"/>
      <c r="C17" s="50">
        <v>1011.6</v>
      </c>
      <c r="D17" s="49"/>
      <c r="E17" s="63">
        <v>1722.68</v>
      </c>
      <c r="F17" s="49"/>
      <c r="G17" s="53">
        <v>1028</v>
      </c>
      <c r="H17" s="49">
        <f t="shared" si="0"/>
        <v>-694.68000000000006</v>
      </c>
    </row>
    <row r="18" spans="1:8" x14ac:dyDescent="0.25">
      <c r="A18" s="3" t="s">
        <v>156</v>
      </c>
      <c r="B18" s="51"/>
      <c r="C18" s="50">
        <v>978.98</v>
      </c>
      <c r="D18" s="49"/>
      <c r="E18" s="63">
        <v>558.70000000000005</v>
      </c>
      <c r="F18" s="49"/>
      <c r="G18" s="53">
        <v>753.1</v>
      </c>
      <c r="H18" s="49">
        <f t="shared" si="0"/>
        <v>194.39999999999998</v>
      </c>
    </row>
    <row r="19" spans="1:8" x14ac:dyDescent="0.25">
      <c r="A19" s="3" t="s">
        <v>157</v>
      </c>
      <c r="B19" s="51"/>
      <c r="C19" s="50">
        <v>709.72</v>
      </c>
      <c r="D19" s="49"/>
      <c r="E19" s="63">
        <v>68.87</v>
      </c>
      <c r="F19" s="49"/>
      <c r="G19" s="53">
        <v>1028.28</v>
      </c>
      <c r="H19" s="49">
        <f t="shared" si="0"/>
        <v>959.41</v>
      </c>
    </row>
    <row r="20" spans="1:8" x14ac:dyDescent="0.25">
      <c r="A20" s="3" t="s">
        <v>277</v>
      </c>
      <c r="B20" s="51"/>
      <c r="C20" s="50">
        <v>0</v>
      </c>
      <c r="D20" s="49"/>
      <c r="E20" s="63">
        <v>200</v>
      </c>
      <c r="F20" s="49"/>
      <c r="G20" s="53">
        <v>0</v>
      </c>
      <c r="H20" s="49">
        <f t="shared" si="0"/>
        <v>-200</v>
      </c>
    </row>
    <row r="21" spans="1:8" x14ac:dyDescent="0.25">
      <c r="A21" s="3" t="s">
        <v>158</v>
      </c>
      <c r="B21" s="51"/>
      <c r="C21" s="50">
        <v>1393.51</v>
      </c>
      <c r="D21" s="49"/>
      <c r="E21" s="63">
        <v>978.75</v>
      </c>
      <c r="F21" s="49"/>
      <c r="G21" s="53">
        <v>0</v>
      </c>
      <c r="H21" s="49">
        <f t="shared" si="0"/>
        <v>-978.75</v>
      </c>
    </row>
    <row r="22" spans="1:8" x14ac:dyDescent="0.25">
      <c r="A22" s="3" t="s">
        <v>159</v>
      </c>
      <c r="B22" s="51"/>
      <c r="C22" s="50">
        <v>494.38</v>
      </c>
      <c r="D22" s="49"/>
      <c r="E22" s="63">
        <v>238.56</v>
      </c>
      <c r="F22" s="49"/>
      <c r="G22" s="53">
        <v>285</v>
      </c>
      <c r="H22" s="49">
        <f t="shared" si="0"/>
        <v>46.44</v>
      </c>
    </row>
    <row r="23" spans="1:8" x14ac:dyDescent="0.25">
      <c r="A23" s="3" t="s">
        <v>160</v>
      </c>
      <c r="B23" s="51"/>
      <c r="C23" s="50">
        <v>25902</v>
      </c>
      <c r="D23" s="49"/>
      <c r="E23" s="63">
        <v>26825.64</v>
      </c>
      <c r="F23" s="49"/>
      <c r="G23" s="53">
        <v>42910.96</v>
      </c>
      <c r="H23" s="49">
        <f t="shared" si="0"/>
        <v>16085.32</v>
      </c>
    </row>
    <row r="24" spans="1:8" x14ac:dyDescent="0.25">
      <c r="A24" s="3" t="s">
        <v>320</v>
      </c>
      <c r="B24" s="51"/>
      <c r="C24" s="50"/>
      <c r="D24" s="49"/>
      <c r="E24" s="63"/>
      <c r="F24" s="49"/>
      <c r="G24" s="53">
        <v>3500</v>
      </c>
      <c r="H24" s="49">
        <f t="shared" si="0"/>
        <v>3500</v>
      </c>
    </row>
    <row r="25" spans="1:8" x14ac:dyDescent="0.25">
      <c r="A25" s="3" t="s">
        <v>161</v>
      </c>
      <c r="B25" s="51"/>
      <c r="C25" s="50">
        <v>0</v>
      </c>
      <c r="D25" s="49"/>
      <c r="E25" s="63">
        <v>43.43</v>
      </c>
      <c r="F25" s="49"/>
      <c r="G25" s="53">
        <v>430</v>
      </c>
      <c r="H25" s="49">
        <f t="shared" si="0"/>
        <v>386.57</v>
      </c>
    </row>
    <row r="26" spans="1:8" x14ac:dyDescent="0.25">
      <c r="A26" s="3" t="s">
        <v>162</v>
      </c>
      <c r="B26" s="51"/>
      <c r="C26" s="50">
        <v>1750.97</v>
      </c>
      <c r="D26" s="49"/>
      <c r="E26" s="63">
        <v>1247.75</v>
      </c>
      <c r="F26" s="49"/>
      <c r="G26" s="53">
        <v>350.37</v>
      </c>
      <c r="H26" s="49">
        <f t="shared" si="0"/>
        <v>-897.38</v>
      </c>
    </row>
    <row r="27" spans="1:8" x14ac:dyDescent="0.25">
      <c r="A27" s="3" t="s">
        <v>163</v>
      </c>
      <c r="B27" s="51"/>
      <c r="C27" s="50">
        <v>500</v>
      </c>
      <c r="D27" s="49"/>
      <c r="E27" s="63">
        <v>0</v>
      </c>
      <c r="F27" s="49"/>
      <c r="G27" s="53">
        <v>0</v>
      </c>
      <c r="H27" s="49">
        <f t="shared" si="0"/>
        <v>0</v>
      </c>
    </row>
    <row r="28" spans="1:8" x14ac:dyDescent="0.25">
      <c r="A28" s="3" t="s">
        <v>164</v>
      </c>
      <c r="B28" s="51"/>
      <c r="C28" s="50">
        <v>3214.66</v>
      </c>
      <c r="D28" s="49"/>
      <c r="E28" s="63">
        <v>2053.84</v>
      </c>
      <c r="F28" s="49"/>
      <c r="G28" s="53">
        <v>1186.6600000000001</v>
      </c>
      <c r="H28" s="49">
        <f t="shared" si="0"/>
        <v>-867.18000000000006</v>
      </c>
    </row>
    <row r="29" spans="1:8" x14ac:dyDescent="0.25">
      <c r="A29" s="3" t="s">
        <v>269</v>
      </c>
      <c r="B29" s="51"/>
      <c r="C29" s="50">
        <v>184.45</v>
      </c>
      <c r="D29" s="49"/>
      <c r="E29" s="63">
        <v>164.4</v>
      </c>
      <c r="F29" s="49"/>
      <c r="G29" s="53">
        <v>42.32</v>
      </c>
      <c r="H29" s="49">
        <f t="shared" si="0"/>
        <v>-122.08000000000001</v>
      </c>
    </row>
    <row r="30" spans="1:8" x14ac:dyDescent="0.25">
      <c r="A30" s="3" t="s">
        <v>165</v>
      </c>
      <c r="B30" s="51"/>
      <c r="C30" s="50">
        <v>104.37</v>
      </c>
      <c r="D30" s="49"/>
      <c r="E30" s="63">
        <v>0</v>
      </c>
      <c r="F30" s="49"/>
      <c r="G30" s="53">
        <v>0</v>
      </c>
      <c r="H30" s="49">
        <f t="shared" si="0"/>
        <v>0</v>
      </c>
    </row>
    <row r="31" spans="1:8" x14ac:dyDescent="0.25">
      <c r="A31" s="3" t="s">
        <v>166</v>
      </c>
      <c r="B31" s="51"/>
      <c r="C31" s="50">
        <v>0</v>
      </c>
      <c r="D31" s="49"/>
      <c r="E31" s="63">
        <v>75</v>
      </c>
      <c r="F31" s="49"/>
      <c r="G31" s="53">
        <v>809.39</v>
      </c>
      <c r="H31" s="49">
        <f t="shared" si="0"/>
        <v>734.39</v>
      </c>
    </row>
    <row r="32" spans="1:8" x14ac:dyDescent="0.25">
      <c r="A32" s="3" t="s">
        <v>167</v>
      </c>
      <c r="B32" s="51"/>
      <c r="C32" s="50">
        <v>3852.75</v>
      </c>
      <c r="D32" s="49"/>
      <c r="E32" s="63">
        <v>3874.49</v>
      </c>
      <c r="F32" s="49"/>
      <c r="G32" s="53">
        <v>4509.97</v>
      </c>
      <c r="H32" s="49">
        <f t="shared" si="0"/>
        <v>635.48000000000047</v>
      </c>
    </row>
    <row r="33" spans="1:8" x14ac:dyDescent="0.25">
      <c r="A33" s="3" t="s">
        <v>168</v>
      </c>
      <c r="B33" s="51"/>
      <c r="C33" s="50">
        <v>1131.5999999999999</v>
      </c>
      <c r="D33" s="49"/>
      <c r="E33" s="63">
        <v>1075.9100000000001</v>
      </c>
      <c r="F33" s="49"/>
      <c r="G33" s="53">
        <v>1658.04</v>
      </c>
      <c r="H33" s="49">
        <f t="shared" si="0"/>
        <v>582.12999999999988</v>
      </c>
    </row>
    <row r="34" spans="1:8" x14ac:dyDescent="0.25">
      <c r="A34" s="3" t="s">
        <v>276</v>
      </c>
      <c r="B34" s="51"/>
      <c r="C34" s="50">
        <v>0</v>
      </c>
      <c r="D34" s="49"/>
      <c r="E34" s="63">
        <v>446</v>
      </c>
      <c r="F34" s="49"/>
      <c r="G34" s="53">
        <v>224.99</v>
      </c>
      <c r="H34" s="49">
        <f t="shared" si="0"/>
        <v>-221.01</v>
      </c>
    </row>
    <row r="35" spans="1:8" x14ac:dyDescent="0.25">
      <c r="A35" s="3" t="s">
        <v>169</v>
      </c>
      <c r="B35" s="51"/>
      <c r="C35" s="50">
        <v>921.13</v>
      </c>
      <c r="D35" s="49"/>
      <c r="E35" s="63">
        <v>2480</v>
      </c>
      <c r="F35" s="49"/>
      <c r="G35" s="53">
        <v>1100</v>
      </c>
      <c r="H35" s="49">
        <f t="shared" si="0"/>
        <v>-1380</v>
      </c>
    </row>
    <row r="36" spans="1:8" x14ac:dyDescent="0.25">
      <c r="A36" s="3" t="s">
        <v>170</v>
      </c>
      <c r="B36" s="51"/>
      <c r="C36" s="50">
        <v>66.87</v>
      </c>
      <c r="D36" s="49"/>
      <c r="E36" s="63">
        <v>0</v>
      </c>
      <c r="F36" s="49"/>
      <c r="G36" s="53">
        <v>447.4</v>
      </c>
      <c r="H36" s="49">
        <f t="shared" si="0"/>
        <v>447.4</v>
      </c>
    </row>
    <row r="37" spans="1:8" x14ac:dyDescent="0.25">
      <c r="A37" s="3" t="s">
        <v>171</v>
      </c>
      <c r="B37" s="51"/>
      <c r="C37" s="50">
        <v>899</v>
      </c>
      <c r="D37" s="49"/>
      <c r="E37" s="63">
        <v>0</v>
      </c>
      <c r="F37" s="49"/>
      <c r="G37" s="53">
        <v>0</v>
      </c>
      <c r="H37" s="49">
        <f t="shared" si="0"/>
        <v>0</v>
      </c>
    </row>
    <row r="38" spans="1:8" x14ac:dyDescent="0.25">
      <c r="A38" s="3" t="s">
        <v>134</v>
      </c>
      <c r="B38" s="51"/>
      <c r="C38" s="56">
        <v>0</v>
      </c>
      <c r="D38" s="49"/>
      <c r="E38" s="64">
        <f>56.96+182.48</f>
        <v>239.44</v>
      </c>
      <c r="F38" s="49"/>
      <c r="G38" s="59">
        <v>3650</v>
      </c>
      <c r="H38" s="49">
        <f t="shared" si="0"/>
        <v>3410.56</v>
      </c>
    </row>
    <row r="39" spans="1:8" x14ac:dyDescent="0.25">
      <c r="A39" s="1" t="s">
        <v>172</v>
      </c>
      <c r="B39" s="51"/>
      <c r="C39" s="57">
        <f>SUBTOTAL(9,C8:C38)</f>
        <v>52739.880000000005</v>
      </c>
      <c r="D39" s="49"/>
      <c r="E39" s="65">
        <f>SUM(E8:E38)</f>
        <v>52551.200000000012</v>
      </c>
      <c r="F39" s="49"/>
      <c r="G39" s="60">
        <f>SUM(G8:G38)</f>
        <v>81132.78</v>
      </c>
      <c r="H39" s="49">
        <f t="shared" si="0"/>
        <v>28581.579999999987</v>
      </c>
    </row>
  </sheetData>
  <pageMargins left="0.7" right="0.7" top="0.75" bottom="0.75" header="0.3" footer="0.3"/>
  <pageSetup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87"/>
  <sheetViews>
    <sheetView topLeftCell="A74" zoomScale="130" zoomScaleNormal="130" workbookViewId="0">
      <selection activeCell="G87" sqref="G87"/>
    </sheetView>
  </sheetViews>
  <sheetFormatPr baseColWidth="10" defaultRowHeight="15" x14ac:dyDescent="0.25"/>
  <cols>
    <col min="1" max="1" width="30.85546875" customWidth="1"/>
    <col min="2" max="2" width="18.7109375" customWidth="1"/>
    <col min="4" max="4" width="18.28515625" customWidth="1"/>
    <col min="6" max="6" width="25" style="61" customWidth="1"/>
    <col min="7" max="7" width="15.140625" style="69" customWidth="1"/>
    <col min="8" max="8" width="15.42578125" style="49" customWidth="1"/>
  </cols>
  <sheetData>
    <row r="1" spans="1:8" ht="15.75" x14ac:dyDescent="0.25">
      <c r="A1" s="26" t="s">
        <v>0</v>
      </c>
    </row>
    <row r="2" spans="1:8" ht="15.75" x14ac:dyDescent="0.25">
      <c r="A2" s="26" t="s">
        <v>212</v>
      </c>
    </row>
    <row r="3" spans="1:8" ht="15.75" x14ac:dyDescent="0.25">
      <c r="A3" s="26" t="s">
        <v>331</v>
      </c>
    </row>
    <row r="5" spans="1:8" x14ac:dyDescent="0.25">
      <c r="A5" s="3" t="s">
        <v>3</v>
      </c>
      <c r="B5" s="4" t="s">
        <v>4</v>
      </c>
      <c r="C5" s="7"/>
      <c r="D5" s="4" t="s">
        <v>259</v>
      </c>
      <c r="E5" s="62"/>
      <c r="F5" s="49" t="s">
        <v>296</v>
      </c>
      <c r="G5" s="63"/>
      <c r="H5" s="66" t="s">
        <v>332</v>
      </c>
    </row>
    <row r="7" spans="1:8" x14ac:dyDescent="0.25">
      <c r="A7" s="29" t="s">
        <v>216</v>
      </c>
      <c r="C7" s="7"/>
      <c r="E7" s="7"/>
      <c r="G7" s="63"/>
    </row>
    <row r="8" spans="1:8" x14ac:dyDescent="0.25">
      <c r="A8" s="29"/>
      <c r="C8" s="7"/>
      <c r="E8" s="7"/>
      <c r="G8" s="63"/>
    </row>
    <row r="9" spans="1:8" x14ac:dyDescent="0.25">
      <c r="A9" s="3" t="s">
        <v>16</v>
      </c>
      <c r="B9" s="52">
        <v>14139.5</v>
      </c>
      <c r="C9" s="53"/>
      <c r="D9" s="49">
        <v>12152.41</v>
      </c>
      <c r="E9" s="63"/>
      <c r="F9" s="49">
        <v>16502.900000000001</v>
      </c>
      <c r="G9" s="53"/>
      <c r="H9" s="49">
        <f>F9-D9</f>
        <v>4350.4900000000016</v>
      </c>
    </row>
    <row r="10" spans="1:8" x14ac:dyDescent="0.25">
      <c r="A10" s="3" t="s">
        <v>17</v>
      </c>
      <c r="B10" s="52">
        <v>7791.21</v>
      </c>
      <c r="C10" s="53"/>
      <c r="D10" s="49">
        <v>2590.12</v>
      </c>
      <c r="E10" s="63"/>
      <c r="F10" s="49">
        <v>3582.85</v>
      </c>
      <c r="G10" s="53"/>
      <c r="H10" s="49">
        <f t="shared" ref="H10:H36" si="0">F10-D10</f>
        <v>992.73</v>
      </c>
    </row>
    <row r="11" spans="1:8" x14ac:dyDescent="0.25">
      <c r="A11" s="3" t="s">
        <v>18</v>
      </c>
      <c r="B11" s="52">
        <v>5067.16</v>
      </c>
      <c r="C11" s="53"/>
      <c r="D11" s="49">
        <v>1705.98</v>
      </c>
      <c r="E11" s="63"/>
      <c r="F11" s="49">
        <v>542.85</v>
      </c>
      <c r="G11" s="53"/>
      <c r="H11" s="49">
        <f t="shared" si="0"/>
        <v>-1163.1300000000001</v>
      </c>
    </row>
    <row r="12" spans="1:8" x14ac:dyDescent="0.25">
      <c r="A12" s="3" t="s">
        <v>19</v>
      </c>
      <c r="B12" s="52">
        <v>6482.06</v>
      </c>
      <c r="C12" s="53"/>
      <c r="D12" s="49">
        <v>3162.87</v>
      </c>
      <c r="E12" s="63"/>
      <c r="F12" s="49">
        <v>0</v>
      </c>
      <c r="G12" s="53"/>
      <c r="H12" s="49">
        <f t="shared" si="0"/>
        <v>-3162.87</v>
      </c>
    </row>
    <row r="13" spans="1:8" x14ac:dyDescent="0.25">
      <c r="A13" s="3" t="s">
        <v>20</v>
      </c>
      <c r="B13" s="54">
        <v>-90.42</v>
      </c>
      <c r="C13" s="53"/>
      <c r="D13" s="55">
        <v>-197.69</v>
      </c>
      <c r="E13" s="63"/>
      <c r="F13" s="55">
        <v>0</v>
      </c>
      <c r="G13" s="53"/>
      <c r="H13" s="49">
        <f t="shared" si="0"/>
        <v>197.69</v>
      </c>
    </row>
    <row r="14" spans="1:8" x14ac:dyDescent="0.25">
      <c r="A14" s="3" t="s">
        <v>21</v>
      </c>
      <c r="B14" s="51"/>
      <c r="C14" s="50">
        <f>(B9+B10+B11+B12+B13)</f>
        <v>33389.51</v>
      </c>
      <c r="D14" s="49"/>
      <c r="E14" s="63">
        <f>SUM(D9:D13)</f>
        <v>19413.689999999999</v>
      </c>
      <c r="F14" s="49"/>
      <c r="G14" s="53">
        <f>SUM(F9:F13)</f>
        <v>20628.599999999999</v>
      </c>
      <c r="H14" s="49">
        <f>G14-E14</f>
        <v>1214.9099999999999</v>
      </c>
    </row>
    <row r="15" spans="1:8" x14ac:dyDescent="0.25">
      <c r="A15" s="3" t="s">
        <v>22</v>
      </c>
      <c r="B15" s="52">
        <v>10892.66</v>
      </c>
      <c r="C15" s="53"/>
      <c r="D15" s="49">
        <v>3741.44</v>
      </c>
      <c r="E15" s="63"/>
      <c r="F15" s="49">
        <v>2624.29</v>
      </c>
      <c r="G15" s="53"/>
      <c r="H15" s="49">
        <f t="shared" si="0"/>
        <v>-1117.1500000000001</v>
      </c>
    </row>
    <row r="16" spans="1:8" x14ac:dyDescent="0.25">
      <c r="A16" s="3" t="s">
        <v>23</v>
      </c>
      <c r="B16" s="52">
        <v>14056.63</v>
      </c>
      <c r="C16" s="53"/>
      <c r="D16" s="49">
        <v>9835.74</v>
      </c>
      <c r="E16" s="63"/>
      <c r="F16" s="49">
        <v>6945.01</v>
      </c>
      <c r="G16" s="53"/>
      <c r="H16" s="49">
        <f t="shared" si="0"/>
        <v>-2890.7299999999996</v>
      </c>
    </row>
    <row r="17" spans="1:8" x14ac:dyDescent="0.25">
      <c r="A17" s="3" t="s">
        <v>24</v>
      </c>
      <c r="B17" s="52">
        <v>6899.37</v>
      </c>
      <c r="C17" s="53"/>
      <c r="D17" s="49">
        <v>9289.99</v>
      </c>
      <c r="E17" s="63"/>
      <c r="F17" s="49">
        <v>4774.72</v>
      </c>
      <c r="G17" s="53"/>
      <c r="H17" s="49">
        <f t="shared" si="0"/>
        <v>-4515.2699999999995</v>
      </c>
    </row>
    <row r="18" spans="1:8" x14ac:dyDescent="0.25">
      <c r="A18" s="3" t="s">
        <v>25</v>
      </c>
      <c r="B18" s="52">
        <v>5528.03</v>
      </c>
      <c r="C18" s="53"/>
      <c r="D18" s="49">
        <v>2386</v>
      </c>
      <c r="E18" s="63"/>
      <c r="F18" s="49">
        <v>4045.81</v>
      </c>
      <c r="G18" s="53"/>
      <c r="H18" s="49">
        <f t="shared" si="0"/>
        <v>1659.81</v>
      </c>
    </row>
    <row r="19" spans="1:8" x14ac:dyDescent="0.25">
      <c r="A19" s="3" t="s">
        <v>26</v>
      </c>
      <c r="B19" s="52">
        <v>3025.1</v>
      </c>
      <c r="C19" s="53"/>
      <c r="D19" s="49">
        <v>1850</v>
      </c>
      <c r="E19" s="63"/>
      <c r="F19" s="49">
        <v>1000</v>
      </c>
      <c r="G19" s="53"/>
      <c r="H19" s="49">
        <f t="shared" si="0"/>
        <v>-850</v>
      </c>
    </row>
    <row r="20" spans="1:8" x14ac:dyDescent="0.25">
      <c r="A20" s="3" t="s">
        <v>27</v>
      </c>
      <c r="B20" s="52">
        <v>4151.67</v>
      </c>
      <c r="C20" s="53"/>
      <c r="D20" s="49">
        <v>2075</v>
      </c>
      <c r="E20" s="63"/>
      <c r="F20" s="49">
        <v>550</v>
      </c>
      <c r="G20" s="53"/>
      <c r="H20" s="49">
        <f t="shared" si="0"/>
        <v>-1525</v>
      </c>
    </row>
    <row r="21" spans="1:8" x14ac:dyDescent="0.25">
      <c r="A21" s="3" t="s">
        <v>28</v>
      </c>
      <c r="B21" s="52">
        <v>0</v>
      </c>
      <c r="C21" s="53"/>
      <c r="D21" s="49">
        <v>0</v>
      </c>
      <c r="E21" s="63"/>
      <c r="F21" s="49">
        <v>0</v>
      </c>
      <c r="G21" s="53"/>
      <c r="H21" s="49">
        <f t="shared" si="0"/>
        <v>0</v>
      </c>
    </row>
    <row r="22" spans="1:8" x14ac:dyDescent="0.25">
      <c r="A22" s="3" t="s">
        <v>29</v>
      </c>
      <c r="B22" s="52">
        <v>0</v>
      </c>
      <c r="C22" s="53"/>
      <c r="D22" s="49">
        <v>0</v>
      </c>
      <c r="E22" s="63"/>
      <c r="F22" s="49">
        <v>0</v>
      </c>
      <c r="G22" s="53"/>
      <c r="H22" s="49">
        <f t="shared" si="0"/>
        <v>0</v>
      </c>
    </row>
    <row r="23" spans="1:8" x14ac:dyDescent="0.25">
      <c r="A23" s="3" t="s">
        <v>30</v>
      </c>
      <c r="B23" s="54">
        <v>1567.48</v>
      </c>
      <c r="C23" s="53"/>
      <c r="D23" s="55">
        <v>0</v>
      </c>
      <c r="E23" s="63"/>
      <c r="F23" s="55">
        <v>0</v>
      </c>
      <c r="G23" s="53"/>
      <c r="H23" s="49">
        <f t="shared" si="0"/>
        <v>0</v>
      </c>
    </row>
    <row r="24" spans="1:8" x14ac:dyDescent="0.25">
      <c r="A24" s="3" t="s">
        <v>31</v>
      </c>
      <c r="B24" s="51"/>
      <c r="C24" s="50">
        <f>SUM(B15:B23)</f>
        <v>46120.94</v>
      </c>
      <c r="D24" s="49"/>
      <c r="E24" s="63">
        <f>SUM(D15:D23)</f>
        <v>29178.17</v>
      </c>
      <c r="F24" s="49"/>
      <c r="G24" s="53">
        <f>SUM(F15:F23)</f>
        <v>19939.830000000002</v>
      </c>
      <c r="H24" s="49">
        <f>G24-E24</f>
        <v>-9238.3399999999965</v>
      </c>
    </row>
    <row r="25" spans="1:8" x14ac:dyDescent="0.25">
      <c r="A25" s="3" t="s">
        <v>32</v>
      </c>
      <c r="B25" s="54">
        <v>2256.3200000000002</v>
      </c>
      <c r="C25" s="53"/>
      <c r="D25" s="55">
        <v>3784.5</v>
      </c>
      <c r="E25" s="63"/>
      <c r="F25" s="55">
        <v>3654</v>
      </c>
      <c r="G25" s="53"/>
      <c r="H25" s="49">
        <f>F25-D25</f>
        <v>-130.5</v>
      </c>
    </row>
    <row r="26" spans="1:8" x14ac:dyDescent="0.25">
      <c r="A26" s="3" t="s">
        <v>33</v>
      </c>
      <c r="B26" s="51"/>
      <c r="C26" s="50">
        <f>(B25)</f>
        <v>2256.3200000000002</v>
      </c>
      <c r="D26" s="49"/>
      <c r="E26" s="63">
        <f>D25</f>
        <v>3784.5</v>
      </c>
      <c r="F26" s="49"/>
      <c r="G26" s="53">
        <f>SUM(F25)</f>
        <v>3654</v>
      </c>
      <c r="H26" s="49">
        <f>G26-E26</f>
        <v>-130.5</v>
      </c>
    </row>
    <row r="27" spans="1:8" x14ac:dyDescent="0.25">
      <c r="A27" s="3" t="s">
        <v>34</v>
      </c>
      <c r="B27" s="54">
        <v>1082.7</v>
      </c>
      <c r="C27" s="53"/>
      <c r="D27" s="55">
        <v>4661.93</v>
      </c>
      <c r="E27" s="63"/>
      <c r="F27" s="55">
        <v>0</v>
      </c>
      <c r="G27" s="53"/>
      <c r="H27" s="49">
        <f>F27-D27</f>
        <v>-4661.93</v>
      </c>
    </row>
    <row r="28" spans="1:8" x14ac:dyDescent="0.25">
      <c r="A28" s="3" t="s">
        <v>35</v>
      </c>
      <c r="B28" s="51"/>
      <c r="C28" s="50">
        <f>(B27)</f>
        <v>1082.7</v>
      </c>
      <c r="D28" s="49"/>
      <c r="E28" s="63">
        <f>D27</f>
        <v>4661.93</v>
      </c>
      <c r="F28" s="49"/>
      <c r="G28" s="53">
        <f>SUM(F27)</f>
        <v>0</v>
      </c>
      <c r="H28" s="49">
        <f>G28-E28</f>
        <v>-4661.93</v>
      </c>
    </row>
    <row r="29" spans="1:8" x14ac:dyDescent="0.25">
      <c r="A29" s="3" t="s">
        <v>36</v>
      </c>
      <c r="B29" s="52">
        <v>0</v>
      </c>
      <c r="C29" s="53"/>
      <c r="D29" s="49">
        <v>0</v>
      </c>
      <c r="E29" s="63"/>
      <c r="F29" s="49">
        <v>77.13</v>
      </c>
      <c r="G29" s="53"/>
      <c r="H29" s="49">
        <f t="shared" si="0"/>
        <v>77.13</v>
      </c>
    </row>
    <row r="30" spans="1:8" x14ac:dyDescent="0.25">
      <c r="A30" s="3" t="s">
        <v>37</v>
      </c>
      <c r="B30" s="52">
        <v>2807.88</v>
      </c>
      <c r="C30" s="53"/>
      <c r="D30" s="49">
        <v>2075</v>
      </c>
      <c r="E30" s="63"/>
      <c r="F30" s="55">
        <v>591.41999999999996</v>
      </c>
      <c r="G30" s="53"/>
      <c r="H30" s="49">
        <f t="shared" si="0"/>
        <v>-1483.58</v>
      </c>
    </row>
    <row r="31" spans="1:8" x14ac:dyDescent="0.25">
      <c r="A31" s="3" t="s">
        <v>38</v>
      </c>
      <c r="B31" s="51"/>
      <c r="C31" s="50">
        <f>(B29+B30)</f>
        <v>2807.88</v>
      </c>
      <c r="D31" s="49"/>
      <c r="E31" s="63">
        <f>SUM(D29:D30)</f>
        <v>2075</v>
      </c>
      <c r="F31" s="49"/>
      <c r="G31" s="53">
        <v>668.55</v>
      </c>
      <c r="H31" s="49">
        <f>G31-E31</f>
        <v>-1406.45</v>
      </c>
    </row>
    <row r="32" spans="1:8" x14ac:dyDescent="0.25">
      <c r="A32" s="3" t="s">
        <v>39</v>
      </c>
      <c r="B32" s="52"/>
      <c r="C32" s="53"/>
      <c r="D32" s="49">
        <v>0</v>
      </c>
      <c r="E32" s="63"/>
      <c r="F32" s="49">
        <v>0</v>
      </c>
      <c r="G32" s="53"/>
      <c r="H32" s="49">
        <f t="shared" si="0"/>
        <v>0</v>
      </c>
    </row>
    <row r="33" spans="1:8" x14ac:dyDescent="0.25">
      <c r="A33" s="3" t="s">
        <v>40</v>
      </c>
      <c r="B33" s="52">
        <v>4107.88</v>
      </c>
      <c r="C33" s="53"/>
      <c r="D33" s="49">
        <v>580</v>
      </c>
      <c r="E33" s="63"/>
      <c r="F33" s="49">
        <v>5490</v>
      </c>
      <c r="G33" s="53"/>
      <c r="H33" s="49">
        <f t="shared" si="0"/>
        <v>4910</v>
      </c>
    </row>
    <row r="34" spans="1:8" x14ac:dyDescent="0.25">
      <c r="A34" s="3" t="s">
        <v>41</v>
      </c>
      <c r="B34" s="52">
        <v>2295.2800000000002</v>
      </c>
      <c r="C34" s="53"/>
      <c r="D34" s="49">
        <v>4079.55</v>
      </c>
      <c r="E34" s="63"/>
      <c r="F34" s="49">
        <v>5300</v>
      </c>
      <c r="G34" s="53"/>
      <c r="H34" s="49">
        <f t="shared" si="0"/>
        <v>1220.4499999999998</v>
      </c>
    </row>
    <row r="35" spans="1:8" x14ac:dyDescent="0.25">
      <c r="A35" s="3" t="s">
        <v>42</v>
      </c>
      <c r="B35" s="52">
        <v>0</v>
      </c>
      <c r="C35" s="53"/>
      <c r="D35" s="49">
        <v>0</v>
      </c>
      <c r="E35" s="63"/>
      <c r="F35" s="49">
        <v>0</v>
      </c>
      <c r="G35" s="53"/>
      <c r="H35" s="49">
        <f t="shared" si="0"/>
        <v>0</v>
      </c>
    </row>
    <row r="36" spans="1:8" x14ac:dyDescent="0.25">
      <c r="A36" s="3" t="s">
        <v>43</v>
      </c>
      <c r="B36" s="54">
        <v>1080</v>
      </c>
      <c r="C36" s="53"/>
      <c r="D36" s="55">
        <v>0</v>
      </c>
      <c r="E36" s="63"/>
      <c r="F36" s="55">
        <v>0</v>
      </c>
      <c r="G36" s="53"/>
      <c r="H36" s="49">
        <f t="shared" si="0"/>
        <v>0</v>
      </c>
    </row>
    <row r="37" spans="1:8" x14ac:dyDescent="0.25">
      <c r="A37" s="3" t="s">
        <v>44</v>
      </c>
      <c r="B37" s="51"/>
      <c r="C37" s="56">
        <f>(B32+B33+B34+B35+B36)</f>
        <v>7483.16</v>
      </c>
      <c r="D37" s="49"/>
      <c r="E37" s="64">
        <f>SUM(D32:D36)</f>
        <v>4659.55</v>
      </c>
      <c r="F37" s="49"/>
      <c r="G37" s="59">
        <f>SUM(F32:F36)</f>
        <v>10790</v>
      </c>
      <c r="H37" s="49">
        <f>G37-E37</f>
        <v>6130.45</v>
      </c>
    </row>
    <row r="38" spans="1:8" x14ac:dyDescent="0.25">
      <c r="A38" s="1" t="s">
        <v>45</v>
      </c>
      <c r="B38" s="51"/>
      <c r="C38" s="57">
        <f>SUBTOTAL(9,C7:C37)</f>
        <v>93140.510000000024</v>
      </c>
      <c r="D38" s="49"/>
      <c r="E38" s="65">
        <f>SUM(E14,E24,E26,E28,E31,E37)</f>
        <v>63772.840000000004</v>
      </c>
      <c r="F38" s="49"/>
      <c r="G38" s="60">
        <f>SUM(G14+G24+G26+G28+G31+G37)</f>
        <v>55680.98</v>
      </c>
      <c r="H38" s="49">
        <f>G38-E38</f>
        <v>-8091.8600000000006</v>
      </c>
    </row>
    <row r="41" spans="1:8" x14ac:dyDescent="0.25">
      <c r="A41" s="1" t="s">
        <v>79</v>
      </c>
      <c r="C41" s="7"/>
      <c r="E41" s="7"/>
      <c r="G41" s="63"/>
    </row>
    <row r="42" spans="1:8" x14ac:dyDescent="0.25">
      <c r="A42" s="3" t="s">
        <v>289</v>
      </c>
      <c r="B42" s="49"/>
      <c r="C42" s="53">
        <v>0</v>
      </c>
      <c r="D42" s="49"/>
      <c r="E42" s="63">
        <v>1953.57</v>
      </c>
      <c r="F42" s="49"/>
      <c r="G42" s="53">
        <v>2120</v>
      </c>
      <c r="H42" s="49">
        <f>G42-E42</f>
        <v>166.43000000000006</v>
      </c>
    </row>
    <row r="43" spans="1:8" x14ac:dyDescent="0.25">
      <c r="A43" s="3" t="s">
        <v>313</v>
      </c>
      <c r="B43" s="52">
        <v>3960</v>
      </c>
      <c r="C43" s="53"/>
      <c r="D43" s="49">
        <v>4752.6400000000003</v>
      </c>
      <c r="E43" s="63"/>
      <c r="F43" s="49">
        <v>3380</v>
      </c>
      <c r="G43" s="53"/>
      <c r="H43" s="49">
        <f t="shared" ref="H43:H48" si="1">F43-D43</f>
        <v>-1372.6400000000003</v>
      </c>
    </row>
    <row r="44" spans="1:8" x14ac:dyDescent="0.25">
      <c r="A44" s="3" t="s">
        <v>80</v>
      </c>
      <c r="B44" s="52">
        <v>2280</v>
      </c>
      <c r="C44" s="53"/>
      <c r="D44" s="49">
        <v>2520</v>
      </c>
      <c r="E44" s="63"/>
      <c r="F44" s="49">
        <v>4810</v>
      </c>
      <c r="G44" s="53"/>
      <c r="H44" s="49">
        <f t="shared" si="1"/>
        <v>2290</v>
      </c>
    </row>
    <row r="45" spans="1:8" x14ac:dyDescent="0.25">
      <c r="A45" s="3" t="s">
        <v>81</v>
      </c>
      <c r="B45" s="52">
        <v>4000</v>
      </c>
      <c r="C45" s="53"/>
      <c r="D45" s="49">
        <v>2800</v>
      </c>
      <c r="E45" s="63"/>
      <c r="F45" s="49">
        <v>0</v>
      </c>
      <c r="G45" s="53"/>
      <c r="H45" s="49">
        <f t="shared" si="1"/>
        <v>-2800</v>
      </c>
    </row>
    <row r="46" spans="1:8" x14ac:dyDescent="0.25">
      <c r="A46" s="3" t="s">
        <v>82</v>
      </c>
      <c r="B46" s="52">
        <v>8360</v>
      </c>
      <c r="C46" s="53"/>
      <c r="D46" s="49">
        <v>4630</v>
      </c>
      <c r="E46" s="63"/>
      <c r="F46" s="49">
        <v>7169.66</v>
      </c>
      <c r="G46" s="53"/>
      <c r="H46" s="49">
        <f t="shared" si="1"/>
        <v>2539.66</v>
      </c>
    </row>
    <row r="47" spans="1:8" x14ac:dyDescent="0.25">
      <c r="A47" s="3" t="s">
        <v>263</v>
      </c>
      <c r="B47" s="52">
        <v>0</v>
      </c>
      <c r="C47" s="53"/>
      <c r="D47" s="49">
        <v>405</v>
      </c>
      <c r="E47" s="63"/>
      <c r="F47" s="49">
        <v>1400</v>
      </c>
      <c r="G47" s="53"/>
      <c r="H47" s="49">
        <f t="shared" si="1"/>
        <v>995</v>
      </c>
    </row>
    <row r="48" spans="1:8" x14ac:dyDescent="0.25">
      <c r="A48" s="3" t="s">
        <v>288</v>
      </c>
      <c r="B48" s="52">
        <v>0</v>
      </c>
      <c r="C48" s="53"/>
      <c r="D48" s="55">
        <v>148.72</v>
      </c>
      <c r="E48" s="63"/>
      <c r="F48" s="55">
        <v>0</v>
      </c>
      <c r="G48" s="53"/>
      <c r="H48" s="49">
        <f t="shared" si="1"/>
        <v>-148.72</v>
      </c>
    </row>
    <row r="49" spans="1:8" x14ac:dyDescent="0.25">
      <c r="A49" s="3" t="s">
        <v>83</v>
      </c>
      <c r="B49" s="51"/>
      <c r="C49" s="50">
        <f>(B43+B44+B45+B46)</f>
        <v>18600</v>
      </c>
      <c r="D49" s="49"/>
      <c r="E49" s="63">
        <f>SUM(D43:D48)</f>
        <v>15256.359999999999</v>
      </c>
      <c r="F49" s="49"/>
      <c r="G49" s="53">
        <f>SUM(F43:F48)</f>
        <v>16759.66</v>
      </c>
      <c r="H49" s="49">
        <f>G49-E49</f>
        <v>1503.3000000000011</v>
      </c>
    </row>
    <row r="50" spans="1:8" x14ac:dyDescent="0.25">
      <c r="A50" s="3" t="s">
        <v>22</v>
      </c>
      <c r="B50" s="52">
        <v>2810</v>
      </c>
      <c r="C50" s="53"/>
      <c r="D50" s="49">
        <v>840</v>
      </c>
      <c r="E50" s="63"/>
      <c r="F50" s="49">
        <v>1242</v>
      </c>
      <c r="G50" s="53"/>
      <c r="H50" s="49">
        <f>F50-D50</f>
        <v>402</v>
      </c>
    </row>
    <row r="51" spans="1:8" x14ac:dyDescent="0.25">
      <c r="A51" s="3" t="s">
        <v>23</v>
      </c>
      <c r="B51" s="52">
        <v>4440</v>
      </c>
      <c r="C51" s="53"/>
      <c r="D51" s="49">
        <v>4510</v>
      </c>
      <c r="E51" s="63"/>
      <c r="F51" s="49">
        <v>2613</v>
      </c>
      <c r="G51" s="53"/>
      <c r="H51" s="49">
        <f t="shared" ref="H51:H57" si="2">F51-D51</f>
        <v>-1897</v>
      </c>
    </row>
    <row r="52" spans="1:8" x14ac:dyDescent="0.25">
      <c r="A52" s="3" t="s">
        <v>84</v>
      </c>
      <c r="B52" s="52">
        <v>2850</v>
      </c>
      <c r="C52" s="53"/>
      <c r="D52" s="49">
        <v>840</v>
      </c>
      <c r="E52" s="63"/>
      <c r="F52" s="49">
        <v>1075</v>
      </c>
      <c r="G52" s="53"/>
      <c r="H52" s="49">
        <f t="shared" si="2"/>
        <v>235</v>
      </c>
    </row>
    <row r="53" spans="1:8" x14ac:dyDescent="0.25">
      <c r="A53" s="3" t="s">
        <v>85</v>
      </c>
      <c r="B53" s="52">
        <v>9165</v>
      </c>
      <c r="C53" s="53"/>
      <c r="D53" s="49">
        <v>14854.08</v>
      </c>
      <c r="E53" s="63"/>
      <c r="F53" s="49">
        <v>9150</v>
      </c>
      <c r="G53" s="53"/>
      <c r="H53" s="49">
        <f t="shared" si="2"/>
        <v>-5704.08</v>
      </c>
    </row>
    <row r="54" spans="1:8" x14ac:dyDescent="0.25">
      <c r="A54" s="3" t="s">
        <v>26</v>
      </c>
      <c r="B54" s="52">
        <v>1320</v>
      </c>
      <c r="C54" s="53"/>
      <c r="D54" s="49">
        <v>1720</v>
      </c>
      <c r="E54" s="63"/>
      <c r="F54" s="49">
        <v>400</v>
      </c>
      <c r="G54" s="53"/>
      <c r="H54" s="49">
        <f t="shared" si="2"/>
        <v>-1320</v>
      </c>
    </row>
    <row r="55" spans="1:8" x14ac:dyDescent="0.25">
      <c r="A55" s="3" t="s">
        <v>27</v>
      </c>
      <c r="B55" s="52">
        <v>1240</v>
      </c>
      <c r="C55" s="53"/>
      <c r="D55" s="49">
        <v>0</v>
      </c>
      <c r="E55" s="63"/>
      <c r="F55" s="49">
        <v>160</v>
      </c>
      <c r="G55" s="53"/>
      <c r="H55" s="49">
        <f t="shared" si="2"/>
        <v>160</v>
      </c>
    </row>
    <row r="56" spans="1:8" x14ac:dyDescent="0.25">
      <c r="A56" s="3" t="s">
        <v>86</v>
      </c>
      <c r="B56" s="52">
        <v>600</v>
      </c>
      <c r="C56" s="53"/>
      <c r="D56" s="49">
        <v>0</v>
      </c>
      <c r="E56" s="63"/>
      <c r="F56" s="49">
        <v>0</v>
      </c>
      <c r="G56" s="53"/>
      <c r="H56" s="49">
        <f t="shared" si="2"/>
        <v>0</v>
      </c>
    </row>
    <row r="57" spans="1:8" x14ac:dyDescent="0.25">
      <c r="A57" s="3" t="s">
        <v>287</v>
      </c>
      <c r="B57" s="54">
        <v>0</v>
      </c>
      <c r="C57" s="53"/>
      <c r="D57" s="55">
        <v>714.31</v>
      </c>
      <c r="E57" s="63"/>
      <c r="F57" s="55">
        <v>0</v>
      </c>
      <c r="G57" s="53"/>
      <c r="H57" s="49">
        <f t="shared" si="2"/>
        <v>-714.31</v>
      </c>
    </row>
    <row r="58" spans="1:8" x14ac:dyDescent="0.25">
      <c r="A58" s="3" t="s">
        <v>87</v>
      </c>
      <c r="B58" s="51"/>
      <c r="C58" s="50">
        <f>(B50+B51+B52+B53+B54+B55+B56)</f>
        <v>22425</v>
      </c>
      <c r="D58" s="49"/>
      <c r="E58" s="63">
        <f>SUM(D50:D57)</f>
        <v>23478.390000000003</v>
      </c>
      <c r="F58" s="49"/>
      <c r="G58" s="53">
        <f>SUM(F50:F57)</f>
        <v>14640</v>
      </c>
      <c r="H58" s="49">
        <f>G58-E58</f>
        <v>-8838.3900000000031</v>
      </c>
    </row>
    <row r="59" spans="1:8" x14ac:dyDescent="0.25">
      <c r="A59" s="3" t="s">
        <v>88</v>
      </c>
      <c r="B59" s="54">
        <v>1600</v>
      </c>
      <c r="C59" s="53"/>
      <c r="D59" s="55">
        <v>2900</v>
      </c>
      <c r="E59" s="63"/>
      <c r="F59" s="55">
        <v>1840</v>
      </c>
      <c r="G59" s="53"/>
      <c r="H59" s="49">
        <f>F59-D59</f>
        <v>-1060</v>
      </c>
    </row>
    <row r="60" spans="1:8" x14ac:dyDescent="0.25">
      <c r="A60" s="3" t="s">
        <v>89</v>
      </c>
      <c r="B60" s="51"/>
      <c r="C60" s="50">
        <f>(B59)</f>
        <v>1600</v>
      </c>
      <c r="D60" s="49"/>
      <c r="E60" s="63">
        <f>D59</f>
        <v>2900</v>
      </c>
      <c r="F60" s="49"/>
      <c r="G60" s="53">
        <f>SUM(F59)</f>
        <v>1840</v>
      </c>
      <c r="H60" s="49">
        <f>G60-E60</f>
        <v>-1060</v>
      </c>
    </row>
    <row r="61" spans="1:8" x14ac:dyDescent="0.25">
      <c r="A61" s="3" t="s">
        <v>90</v>
      </c>
      <c r="B61" s="54">
        <v>1520</v>
      </c>
      <c r="C61" s="53"/>
      <c r="D61" s="55">
        <v>0</v>
      </c>
      <c r="E61" s="63"/>
      <c r="F61" s="55">
        <v>120</v>
      </c>
      <c r="G61" s="53"/>
      <c r="H61" s="49">
        <f>F61-D61</f>
        <v>120</v>
      </c>
    </row>
    <row r="62" spans="1:8" x14ac:dyDescent="0.25">
      <c r="A62" s="3" t="s">
        <v>91</v>
      </c>
      <c r="B62" s="51"/>
      <c r="C62" s="50">
        <f>(B61)</f>
        <v>1520</v>
      </c>
      <c r="D62" s="49"/>
      <c r="E62" s="63">
        <f>D61</f>
        <v>0</v>
      </c>
      <c r="F62" s="49"/>
      <c r="G62" s="53">
        <f>SUM(F61)</f>
        <v>120</v>
      </c>
      <c r="H62" s="49">
        <f>G62-E62</f>
        <v>120</v>
      </c>
    </row>
    <row r="63" spans="1:8" s="31" customFormat="1" x14ac:dyDescent="0.25">
      <c r="A63" s="3" t="s">
        <v>92</v>
      </c>
      <c r="B63" s="54">
        <v>2829.01</v>
      </c>
      <c r="C63" s="53"/>
      <c r="D63" s="55">
        <v>3090</v>
      </c>
      <c r="E63" s="63"/>
      <c r="F63" s="55">
        <v>5158.62</v>
      </c>
      <c r="G63" s="53"/>
      <c r="H63" s="49">
        <f>F63-D63</f>
        <v>2068.62</v>
      </c>
    </row>
    <row r="64" spans="1:8" s="31" customFormat="1" x14ac:dyDescent="0.25">
      <c r="A64" s="3" t="s">
        <v>93</v>
      </c>
      <c r="B64" s="51"/>
      <c r="C64" s="50">
        <f>(B63)</f>
        <v>2829.01</v>
      </c>
      <c r="D64" s="49"/>
      <c r="E64" s="63">
        <f>D63</f>
        <v>3090</v>
      </c>
      <c r="F64" s="49"/>
      <c r="G64" s="53">
        <f>SUM(F63)</f>
        <v>5158.62</v>
      </c>
      <c r="H64" s="49">
        <f>G64-E64</f>
        <v>2068.62</v>
      </c>
    </row>
    <row r="65" spans="1:8" s="31" customFormat="1" x14ac:dyDescent="0.25">
      <c r="A65" s="3" t="s">
        <v>94</v>
      </c>
      <c r="B65" s="51"/>
      <c r="C65" s="56">
        <v>0</v>
      </c>
      <c r="D65" s="49"/>
      <c r="E65" s="64">
        <v>0</v>
      </c>
      <c r="F65" s="49"/>
      <c r="G65" s="59">
        <v>0</v>
      </c>
      <c r="H65" s="49">
        <f t="shared" ref="H65:H66" si="3">G65-E65</f>
        <v>0</v>
      </c>
    </row>
    <row r="66" spans="1:8" s="31" customFormat="1" x14ac:dyDescent="0.25">
      <c r="A66" s="1" t="s">
        <v>95</v>
      </c>
      <c r="B66" s="51"/>
      <c r="C66" s="57">
        <f>SUBTOTAL(9,C40:C65)</f>
        <v>46974.01</v>
      </c>
      <c r="D66" s="49"/>
      <c r="E66" s="65">
        <f>SUM(E49,E58,E60,E64,E62,E65,E42)</f>
        <v>46678.32</v>
      </c>
      <c r="F66" s="49"/>
      <c r="G66" s="59">
        <f>SUM(G42+G49+G58+G60+G62+G64+G65)</f>
        <v>40638.280000000006</v>
      </c>
      <c r="H66" s="49">
        <f t="shared" si="3"/>
        <v>-6040.0399999999936</v>
      </c>
    </row>
    <row r="67" spans="1:8" x14ac:dyDescent="0.25">
      <c r="F67" s="71"/>
      <c r="G67" s="65"/>
    </row>
    <row r="68" spans="1:8" s="32" customFormat="1" x14ac:dyDescent="0.25">
      <c r="A68" s="34" t="s">
        <v>214</v>
      </c>
      <c r="B68" s="35"/>
      <c r="C68" s="36">
        <f>C38-C66</f>
        <v>46166.500000000022</v>
      </c>
      <c r="D68" s="35"/>
      <c r="E68" s="36">
        <f>E38-E66</f>
        <v>17094.520000000004</v>
      </c>
      <c r="F68" s="72"/>
      <c r="G68" s="70">
        <f>G38-G66</f>
        <v>15042.699999999997</v>
      </c>
      <c r="H68" s="49">
        <f>G68-E68</f>
        <v>-2051.820000000007</v>
      </c>
    </row>
    <row r="71" spans="1:8" x14ac:dyDescent="0.25">
      <c r="A71" t="s">
        <v>215</v>
      </c>
    </row>
    <row r="73" spans="1:8" x14ac:dyDescent="0.25">
      <c r="A73" s="1" t="s">
        <v>68</v>
      </c>
      <c r="B73" s="2"/>
      <c r="C73" s="85">
        <v>95223.81</v>
      </c>
      <c r="D73" s="2"/>
      <c r="E73" s="85">
        <v>135360.91</v>
      </c>
      <c r="F73" s="5"/>
      <c r="G73" s="50">
        <v>118097.3</v>
      </c>
      <c r="H73" s="49">
        <f>G73-E73</f>
        <v>-17263.61</v>
      </c>
    </row>
    <row r="74" spans="1:8" x14ac:dyDescent="0.25">
      <c r="A74" s="1" t="s">
        <v>70</v>
      </c>
      <c r="B74" s="2"/>
      <c r="C74" s="85">
        <v>28140.39</v>
      </c>
      <c r="D74" s="2"/>
      <c r="E74" s="85">
        <v>39287.94</v>
      </c>
      <c r="F74" s="5"/>
      <c r="G74" s="50">
        <v>24079.45</v>
      </c>
      <c r="H74" s="49">
        <f t="shared" ref="H74:H76" si="4">G74-E74</f>
        <v>-15208.490000000002</v>
      </c>
    </row>
    <row r="75" spans="1:8" x14ac:dyDescent="0.25">
      <c r="A75" s="1" t="s">
        <v>335</v>
      </c>
      <c r="B75" s="2"/>
      <c r="C75" s="85">
        <v>0</v>
      </c>
      <c r="D75" s="2"/>
      <c r="E75" s="85">
        <v>0</v>
      </c>
      <c r="F75" s="5"/>
      <c r="G75" s="50">
        <v>61593.51</v>
      </c>
      <c r="H75" s="49">
        <f t="shared" si="4"/>
        <v>61593.51</v>
      </c>
    </row>
    <row r="76" spans="1:8" x14ac:dyDescent="0.25">
      <c r="A76" s="1" t="s">
        <v>333</v>
      </c>
      <c r="B76" s="2"/>
      <c r="C76" s="8">
        <v>0</v>
      </c>
      <c r="D76" s="2"/>
      <c r="E76" s="8">
        <v>0</v>
      </c>
      <c r="F76" s="5"/>
      <c r="G76" s="56">
        <v>7086.48</v>
      </c>
      <c r="H76" s="49">
        <f t="shared" si="4"/>
        <v>7086.48</v>
      </c>
    </row>
    <row r="77" spans="1:8" x14ac:dyDescent="0.25">
      <c r="A77" s="30" t="s">
        <v>218</v>
      </c>
      <c r="B77" s="7"/>
      <c r="C77" s="33">
        <f>C73+C74+C75+C76</f>
        <v>123364.2</v>
      </c>
      <c r="D77" s="7"/>
      <c r="E77" s="33">
        <f>E73+E74+E75+E76</f>
        <v>174648.85</v>
      </c>
      <c r="F77" s="68"/>
      <c r="G77" s="63">
        <f>SUM(G73:G76)</f>
        <v>210856.74000000002</v>
      </c>
      <c r="H77" s="49">
        <f t="shared" ref="H77" si="5">G77-E77</f>
        <v>36207.890000000014</v>
      </c>
    </row>
    <row r="79" spans="1:8" x14ac:dyDescent="0.25">
      <c r="A79" t="s">
        <v>219</v>
      </c>
    </row>
    <row r="81" spans="1:8" x14ac:dyDescent="0.25">
      <c r="A81" s="1" t="s">
        <v>135</v>
      </c>
      <c r="B81" s="2"/>
      <c r="C81" s="85">
        <v>89113.07</v>
      </c>
      <c r="D81" s="2"/>
      <c r="E81" s="85">
        <v>96313.88</v>
      </c>
      <c r="F81" s="5"/>
      <c r="G81" s="50">
        <v>108917.22</v>
      </c>
      <c r="H81" s="49">
        <f>G81-E81</f>
        <v>12603.339999999997</v>
      </c>
    </row>
    <row r="82" spans="1:8" x14ac:dyDescent="0.25">
      <c r="A82" s="1" t="s">
        <v>337</v>
      </c>
      <c r="B82" s="2"/>
      <c r="C82" s="85">
        <v>25895.72</v>
      </c>
      <c r="D82" s="2"/>
      <c r="E82" s="85">
        <v>32395.03</v>
      </c>
      <c r="F82" s="5"/>
      <c r="G82" s="50">
        <v>21330.48</v>
      </c>
      <c r="H82" s="49">
        <f>G82-E82</f>
        <v>-11064.55</v>
      </c>
    </row>
    <row r="83" spans="1:8" x14ac:dyDescent="0.25">
      <c r="A83" s="1" t="s">
        <v>336</v>
      </c>
      <c r="B83" s="2"/>
      <c r="C83" s="85">
        <v>0</v>
      </c>
      <c r="D83" s="2"/>
      <c r="E83" s="85">
        <v>0</v>
      </c>
      <c r="F83" s="5"/>
      <c r="G83" s="50">
        <v>46313.38</v>
      </c>
      <c r="H83" s="49">
        <f>G83-E83</f>
        <v>46313.38</v>
      </c>
    </row>
    <row r="84" spans="1:8" x14ac:dyDescent="0.25">
      <c r="A84" s="1" t="s">
        <v>334</v>
      </c>
      <c r="B84" s="2"/>
      <c r="C84" s="8">
        <v>0</v>
      </c>
      <c r="D84" s="2"/>
      <c r="E84" s="8">
        <v>0</v>
      </c>
      <c r="F84" s="5"/>
      <c r="G84" s="56">
        <v>6389.3</v>
      </c>
      <c r="H84" s="49">
        <f>G84-E84</f>
        <v>6389.3</v>
      </c>
    </row>
    <row r="85" spans="1:8" x14ac:dyDescent="0.25">
      <c r="A85" s="7" t="s">
        <v>220</v>
      </c>
      <c r="B85" s="7"/>
      <c r="C85" s="33">
        <f>C81+C82+C83+C84</f>
        <v>115008.79000000001</v>
      </c>
      <c r="D85" s="7"/>
      <c r="E85" s="33">
        <f>E81+E82+E83+E84</f>
        <v>128708.91</v>
      </c>
      <c r="F85" s="68"/>
      <c r="G85" s="63">
        <f>SUM(G81:G84)</f>
        <v>182950.37999999998</v>
      </c>
      <c r="H85" s="49">
        <f t="shared" ref="H85" si="6">G85-E85</f>
        <v>54241.469999999972</v>
      </c>
    </row>
    <row r="87" spans="1:8" x14ac:dyDescent="0.25">
      <c r="A87" s="37" t="s">
        <v>221</v>
      </c>
      <c r="B87" s="38"/>
      <c r="C87" s="39">
        <f>C77-C85</f>
        <v>8355.4099999999889</v>
      </c>
      <c r="D87" s="38"/>
      <c r="E87" s="39">
        <f>E77-E85</f>
        <v>45939.94</v>
      </c>
      <c r="F87" s="67"/>
      <c r="G87" s="70">
        <f>G77-G85</f>
        <v>27906.360000000044</v>
      </c>
      <c r="H87" s="53">
        <f>G87-E87</f>
        <v>-18033.579999999958</v>
      </c>
    </row>
  </sheetData>
  <pageMargins left="0.7" right="0.7" top="0.75" bottom="0.75" header="0.3" footer="0.3"/>
  <pageSetup orientation="portrait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H98"/>
  <sheetViews>
    <sheetView topLeftCell="A85" zoomScale="130" zoomScaleNormal="130" workbookViewId="0">
      <selection activeCell="F90" sqref="F90"/>
    </sheetView>
  </sheetViews>
  <sheetFormatPr baseColWidth="10" defaultRowHeight="15" x14ac:dyDescent="0.25"/>
  <cols>
    <col min="1" max="1" width="29.140625" customWidth="1"/>
    <col min="2" max="2" width="18.7109375" customWidth="1"/>
    <col min="3" max="3" width="18" customWidth="1"/>
    <col min="4" max="4" width="18.85546875" customWidth="1"/>
    <col min="5" max="5" width="19.5703125" customWidth="1"/>
    <col min="6" max="6" width="25.5703125" style="61" customWidth="1"/>
    <col min="7" max="7" width="20" style="61" customWidth="1"/>
    <col min="8" max="8" width="17.7109375" style="49" customWidth="1"/>
  </cols>
  <sheetData>
    <row r="1" spans="1:8" ht="15.75" x14ac:dyDescent="0.25">
      <c r="A1" s="26" t="s">
        <v>0</v>
      </c>
    </row>
    <row r="2" spans="1:8" ht="15.75" x14ac:dyDescent="0.25">
      <c r="A2" s="26" t="s">
        <v>222</v>
      </c>
    </row>
    <row r="3" spans="1:8" ht="15.75" x14ac:dyDescent="0.25">
      <c r="A3" s="26" t="s">
        <v>331</v>
      </c>
    </row>
    <row r="4" spans="1:8" ht="15.75" x14ac:dyDescent="0.25">
      <c r="A4" s="26"/>
    </row>
    <row r="5" spans="1:8" ht="15.75" x14ac:dyDescent="0.25">
      <c r="A5" s="26"/>
    </row>
    <row r="6" spans="1:8" x14ac:dyDescent="0.25">
      <c r="B6" s="4" t="s">
        <v>4</v>
      </c>
      <c r="C6" s="7"/>
      <c r="D6" s="4" t="s">
        <v>259</v>
      </c>
      <c r="E6" s="62"/>
      <c r="F6" s="49" t="s">
        <v>296</v>
      </c>
      <c r="H6" s="53" t="s">
        <v>332</v>
      </c>
    </row>
    <row r="7" spans="1:8" x14ac:dyDescent="0.25">
      <c r="A7" s="1" t="s">
        <v>46</v>
      </c>
      <c r="B7" s="49"/>
      <c r="C7" s="53"/>
      <c r="D7" s="49"/>
      <c r="E7" s="53"/>
      <c r="F7" s="49"/>
      <c r="G7" s="53"/>
      <c r="H7" s="66"/>
    </row>
    <row r="8" spans="1:8" x14ac:dyDescent="0.25">
      <c r="A8" s="3" t="s">
        <v>47</v>
      </c>
      <c r="B8" s="52">
        <v>40579.25</v>
      </c>
      <c r="C8" s="53"/>
      <c r="D8" s="49">
        <v>60941.440000000002</v>
      </c>
      <c r="E8" s="63"/>
      <c r="F8" s="49">
        <v>59357.25</v>
      </c>
      <c r="G8" s="53"/>
      <c r="H8" s="49">
        <f>F8-D8</f>
        <v>-1584.1900000000023</v>
      </c>
    </row>
    <row r="9" spans="1:8" x14ac:dyDescent="0.25">
      <c r="A9" s="3" t="s">
        <v>48</v>
      </c>
      <c r="B9" s="52">
        <v>114.81</v>
      </c>
      <c r="C9" s="53"/>
      <c r="D9" s="49">
        <v>480</v>
      </c>
      <c r="E9" s="63"/>
      <c r="F9" s="49">
        <v>300.07</v>
      </c>
      <c r="G9" s="53"/>
      <c r="H9" s="49">
        <f>F9-D9</f>
        <v>-179.93</v>
      </c>
    </row>
    <row r="10" spans="1:8" x14ac:dyDescent="0.25">
      <c r="A10" s="3" t="s">
        <v>49</v>
      </c>
      <c r="B10" s="52">
        <v>2071.75</v>
      </c>
      <c r="C10" s="53"/>
      <c r="D10" s="49">
        <v>871.5</v>
      </c>
      <c r="E10" s="63"/>
      <c r="F10" s="49">
        <v>557.08000000000004</v>
      </c>
      <c r="G10" s="53"/>
      <c r="H10" s="49">
        <f t="shared" ref="H10:H22" si="0">F10-D10</f>
        <v>-314.41999999999996</v>
      </c>
    </row>
    <row r="11" spans="1:8" x14ac:dyDescent="0.25">
      <c r="A11" s="3" t="s">
        <v>50</v>
      </c>
      <c r="B11" s="52">
        <v>10599.36</v>
      </c>
      <c r="C11" s="53"/>
      <c r="D11" s="49">
        <v>12000.7</v>
      </c>
      <c r="E11" s="63"/>
      <c r="F11" s="49">
        <v>12564.38</v>
      </c>
      <c r="G11" s="53"/>
      <c r="H11" s="49">
        <f t="shared" si="0"/>
        <v>563.67999999999847</v>
      </c>
    </row>
    <row r="12" spans="1:8" x14ac:dyDescent="0.25">
      <c r="A12" s="3" t="s">
        <v>51</v>
      </c>
      <c r="B12" s="52">
        <v>873.23</v>
      </c>
      <c r="C12" s="53"/>
      <c r="D12" s="49">
        <v>385</v>
      </c>
      <c r="E12" s="63"/>
      <c r="F12" s="49">
        <v>309.64</v>
      </c>
      <c r="G12" s="53"/>
      <c r="H12" s="49">
        <f t="shared" si="0"/>
        <v>-75.360000000000014</v>
      </c>
    </row>
    <row r="13" spans="1:8" x14ac:dyDescent="0.25">
      <c r="A13" s="3" t="s">
        <v>52</v>
      </c>
      <c r="B13" s="52">
        <v>403.32</v>
      </c>
      <c r="C13" s="53"/>
      <c r="D13" s="49">
        <v>680</v>
      </c>
      <c r="E13" s="63"/>
      <c r="F13" s="49">
        <v>0</v>
      </c>
      <c r="G13" s="53"/>
      <c r="H13" s="49">
        <f t="shared" si="0"/>
        <v>-680</v>
      </c>
    </row>
    <row r="14" spans="1:8" x14ac:dyDescent="0.25">
      <c r="A14" s="3" t="s">
        <v>53</v>
      </c>
      <c r="B14" s="52">
        <v>95.67</v>
      </c>
      <c r="C14" s="53"/>
      <c r="D14" s="49">
        <v>70</v>
      </c>
      <c r="E14" s="63"/>
      <c r="F14" s="49">
        <v>34.79</v>
      </c>
      <c r="G14" s="53"/>
      <c r="H14" s="49">
        <f t="shared" si="0"/>
        <v>-35.21</v>
      </c>
    </row>
    <row r="15" spans="1:8" x14ac:dyDescent="0.25">
      <c r="A15" s="3" t="s">
        <v>54</v>
      </c>
      <c r="B15" s="52">
        <v>3385.07</v>
      </c>
      <c r="C15" s="53"/>
      <c r="D15" s="49">
        <v>3544</v>
      </c>
      <c r="E15" s="63"/>
      <c r="F15" s="49">
        <v>2678.84</v>
      </c>
      <c r="G15" s="53"/>
      <c r="H15" s="49">
        <f t="shared" si="0"/>
        <v>-865.15999999999985</v>
      </c>
    </row>
    <row r="16" spans="1:8" x14ac:dyDescent="0.25">
      <c r="A16" s="3" t="s">
        <v>55</v>
      </c>
      <c r="B16" s="52">
        <v>52.18</v>
      </c>
      <c r="C16" s="53"/>
      <c r="D16" s="49">
        <v>0</v>
      </c>
      <c r="E16" s="63"/>
      <c r="F16" s="49">
        <v>0</v>
      </c>
      <c r="G16" s="53"/>
      <c r="H16" s="49">
        <f t="shared" si="0"/>
        <v>0</v>
      </c>
    </row>
    <row r="17" spans="1:8" x14ac:dyDescent="0.25">
      <c r="A17" s="3" t="s">
        <v>56</v>
      </c>
      <c r="B17" s="52">
        <v>15492.99</v>
      </c>
      <c r="C17" s="53"/>
      <c r="D17" s="49">
        <v>23379.05</v>
      </c>
      <c r="E17" s="63"/>
      <c r="F17" s="49">
        <v>0</v>
      </c>
      <c r="G17" s="53"/>
      <c r="H17" s="49">
        <f t="shared" si="0"/>
        <v>-23379.05</v>
      </c>
    </row>
    <row r="18" spans="1:8" x14ac:dyDescent="0.25">
      <c r="A18" s="3" t="s">
        <v>300</v>
      </c>
      <c r="B18" s="52"/>
      <c r="C18" s="53"/>
      <c r="D18" s="49"/>
      <c r="E18" s="63"/>
      <c r="F18" s="49">
        <v>3362.28</v>
      </c>
      <c r="G18" s="53"/>
      <c r="H18" s="49">
        <f t="shared" si="0"/>
        <v>3362.28</v>
      </c>
    </row>
    <row r="19" spans="1:8" x14ac:dyDescent="0.25">
      <c r="A19" s="3" t="s">
        <v>301</v>
      </c>
      <c r="B19" s="52"/>
      <c r="C19" s="53"/>
      <c r="D19" s="49"/>
      <c r="E19" s="63"/>
      <c r="F19" s="49">
        <v>6327.46</v>
      </c>
      <c r="G19" s="53"/>
      <c r="H19" s="49">
        <f t="shared" si="0"/>
        <v>6327.46</v>
      </c>
    </row>
    <row r="20" spans="1:8" x14ac:dyDescent="0.25">
      <c r="A20" s="3" t="s">
        <v>302</v>
      </c>
      <c r="B20" s="52"/>
      <c r="C20" s="53"/>
      <c r="D20" s="49"/>
      <c r="E20" s="63"/>
      <c r="F20" s="49">
        <v>251.53</v>
      </c>
      <c r="G20" s="53"/>
      <c r="H20" s="49">
        <f t="shared" si="0"/>
        <v>251.53</v>
      </c>
    </row>
    <row r="21" spans="1:8" x14ac:dyDescent="0.25">
      <c r="A21" s="3" t="s">
        <v>57</v>
      </c>
      <c r="B21" s="52">
        <v>3720.82</v>
      </c>
      <c r="C21" s="53"/>
      <c r="D21" s="49">
        <v>4760</v>
      </c>
      <c r="E21" s="63"/>
      <c r="F21" s="49">
        <v>5814.3</v>
      </c>
      <c r="G21" s="53"/>
      <c r="H21" s="49">
        <f t="shared" si="0"/>
        <v>1054.3000000000002</v>
      </c>
    </row>
    <row r="22" spans="1:8" x14ac:dyDescent="0.25">
      <c r="A22" s="3" t="s">
        <v>58</v>
      </c>
      <c r="B22" s="54">
        <v>1793.43</v>
      </c>
      <c r="C22" s="53"/>
      <c r="D22" s="55">
        <v>3749.6</v>
      </c>
      <c r="E22" s="63"/>
      <c r="F22" s="55">
        <v>3672</v>
      </c>
      <c r="G22" s="53"/>
      <c r="H22" s="49">
        <f t="shared" si="0"/>
        <v>-77.599999999999909</v>
      </c>
    </row>
    <row r="23" spans="1:8" x14ac:dyDescent="0.25">
      <c r="A23" s="3" t="s">
        <v>59</v>
      </c>
      <c r="B23" s="51"/>
      <c r="C23" s="50">
        <f>(B8+B9+B10+B11+B12+B13+B14+B15+B16+B17+B21+B22)</f>
        <v>79181.88</v>
      </c>
      <c r="D23" s="49"/>
      <c r="E23" s="63">
        <f>SUM(D8:D22)</f>
        <v>110861.29000000001</v>
      </c>
      <c r="F23" s="49"/>
      <c r="G23" s="53">
        <f>SUM(F8:F22)</f>
        <v>95229.62</v>
      </c>
      <c r="H23" s="49">
        <f t="shared" ref="H23:H29" si="1">G23-E23</f>
        <v>-15631.670000000013</v>
      </c>
    </row>
    <row r="24" spans="1:8" x14ac:dyDescent="0.25">
      <c r="A24" s="3" t="s">
        <v>60</v>
      </c>
      <c r="B24" s="51"/>
      <c r="C24" s="50">
        <v>4346.1000000000004</v>
      </c>
      <c r="D24" s="49"/>
      <c r="E24" s="63">
        <v>6509.05</v>
      </c>
      <c r="F24" s="49"/>
      <c r="G24" s="53">
        <v>2822.51</v>
      </c>
      <c r="H24" s="49">
        <f t="shared" si="1"/>
        <v>-3686.54</v>
      </c>
    </row>
    <row r="25" spans="1:8" x14ac:dyDescent="0.25">
      <c r="A25" s="3" t="s">
        <v>61</v>
      </c>
      <c r="B25" s="51"/>
      <c r="C25" s="50">
        <v>4192.18</v>
      </c>
      <c r="D25" s="49"/>
      <c r="E25" s="63">
        <v>3350.96</v>
      </c>
      <c r="F25" s="49"/>
      <c r="G25" s="53">
        <v>3840.77</v>
      </c>
      <c r="H25" s="49">
        <f t="shared" si="1"/>
        <v>489.80999999999995</v>
      </c>
    </row>
    <row r="26" spans="1:8" x14ac:dyDescent="0.25">
      <c r="A26" s="3" t="s">
        <v>62</v>
      </c>
      <c r="B26" s="51"/>
      <c r="C26" s="50">
        <v>530.54999999999995</v>
      </c>
      <c r="D26" s="49"/>
      <c r="E26" s="63">
        <v>716</v>
      </c>
      <c r="F26" s="49"/>
      <c r="G26" s="53">
        <v>339.2</v>
      </c>
      <c r="H26" s="49">
        <f t="shared" si="1"/>
        <v>-376.8</v>
      </c>
    </row>
    <row r="27" spans="1:8" x14ac:dyDescent="0.25">
      <c r="A27" s="3" t="s">
        <v>63</v>
      </c>
      <c r="B27" s="51"/>
      <c r="C27" s="50">
        <v>3185.93</v>
      </c>
      <c r="D27" s="49"/>
      <c r="E27" s="63">
        <v>3129.29</v>
      </c>
      <c r="F27" s="49"/>
      <c r="G27" s="53">
        <v>2729</v>
      </c>
      <c r="H27" s="49">
        <f t="shared" si="1"/>
        <v>-400.28999999999996</v>
      </c>
    </row>
    <row r="28" spans="1:8" x14ac:dyDescent="0.25">
      <c r="A28" s="3" t="s">
        <v>64</v>
      </c>
      <c r="B28" s="51"/>
      <c r="C28" s="50">
        <v>1217.6600000000001</v>
      </c>
      <c r="D28" s="49"/>
      <c r="E28" s="63">
        <v>2890.59</v>
      </c>
      <c r="F28" s="49"/>
      <c r="G28" s="53">
        <v>2122.1999999999998</v>
      </c>
      <c r="H28" s="49">
        <f t="shared" si="1"/>
        <v>-768.39000000000033</v>
      </c>
    </row>
    <row r="29" spans="1:8" x14ac:dyDescent="0.25">
      <c r="A29" s="3" t="s">
        <v>65</v>
      </c>
      <c r="B29" s="51"/>
      <c r="C29" s="50">
        <v>1739.51</v>
      </c>
      <c r="D29" s="49"/>
      <c r="E29" s="63">
        <v>8359.1299999999992</v>
      </c>
      <c r="F29" s="49"/>
      <c r="G29" s="53">
        <v>10000</v>
      </c>
      <c r="H29" s="49">
        <f t="shared" si="1"/>
        <v>1640.8700000000008</v>
      </c>
    </row>
    <row r="30" spans="1:8" x14ac:dyDescent="0.25">
      <c r="A30" s="3" t="s">
        <v>290</v>
      </c>
      <c r="B30" s="51"/>
      <c r="C30" s="50">
        <v>0</v>
      </c>
      <c r="D30" s="49"/>
      <c r="E30" s="63">
        <v>1500</v>
      </c>
      <c r="F30" s="49"/>
      <c r="G30" s="53">
        <v>0</v>
      </c>
      <c r="H30" s="49">
        <f>G30-E30</f>
        <v>-1500</v>
      </c>
    </row>
    <row r="31" spans="1:8" x14ac:dyDescent="0.25">
      <c r="A31" s="3" t="s">
        <v>66</v>
      </c>
      <c r="B31" s="54">
        <v>830</v>
      </c>
      <c r="C31" s="53"/>
      <c r="D31" s="55">
        <v>0</v>
      </c>
      <c r="E31" s="63"/>
      <c r="F31" s="55">
        <v>1014</v>
      </c>
      <c r="G31" s="53"/>
      <c r="H31" s="49">
        <f>F31-D31</f>
        <v>1014</v>
      </c>
    </row>
    <row r="32" spans="1:8" x14ac:dyDescent="0.25">
      <c r="A32" s="3" t="s">
        <v>67</v>
      </c>
      <c r="B32" s="51"/>
      <c r="C32" s="56">
        <f>(B31)</f>
        <v>830</v>
      </c>
      <c r="D32" s="49"/>
      <c r="E32" s="64">
        <f>D31</f>
        <v>0</v>
      </c>
      <c r="F32" s="49"/>
      <c r="G32" s="59">
        <f>SUM(F31)</f>
        <v>1014</v>
      </c>
      <c r="H32" s="49">
        <f t="shared" ref="H32:H33" si="2">G32-E32</f>
        <v>1014</v>
      </c>
    </row>
    <row r="33" spans="1:8" x14ac:dyDescent="0.25">
      <c r="A33" s="1" t="s">
        <v>68</v>
      </c>
      <c r="B33" s="51"/>
      <c r="C33" s="57">
        <f>SUBTOTAL(9,C6:C32)</f>
        <v>95223.81</v>
      </c>
      <c r="D33" s="49"/>
      <c r="E33" s="65">
        <f>SUM(E23:E32)</f>
        <v>137316.31</v>
      </c>
      <c r="F33" s="49"/>
      <c r="G33" s="59">
        <f>SUM(G23:G32)</f>
        <v>118097.29999999999</v>
      </c>
      <c r="H33" s="49">
        <f t="shared" si="2"/>
        <v>-19219.010000000009</v>
      </c>
    </row>
    <row r="34" spans="1:8" x14ac:dyDescent="0.25">
      <c r="A34" s="1"/>
      <c r="B34" s="51"/>
      <c r="C34" s="50"/>
      <c r="D34" s="51"/>
      <c r="E34" s="50"/>
      <c r="F34" s="49"/>
      <c r="G34" s="53"/>
    </row>
    <row r="35" spans="1:8" x14ac:dyDescent="0.25">
      <c r="A35" s="1"/>
      <c r="B35" s="51"/>
      <c r="C35" s="50"/>
      <c r="D35" s="51"/>
      <c r="E35" s="50"/>
      <c r="F35" s="49"/>
      <c r="G35" s="53"/>
    </row>
    <row r="36" spans="1:8" x14ac:dyDescent="0.25">
      <c r="A36" s="1" t="s">
        <v>96</v>
      </c>
      <c r="B36" s="49"/>
      <c r="C36" s="53"/>
      <c r="D36" s="49"/>
      <c r="E36" s="63"/>
      <c r="F36" s="49"/>
      <c r="G36" s="53"/>
    </row>
    <row r="37" spans="1:8" x14ac:dyDescent="0.25">
      <c r="A37" s="3" t="s">
        <v>97</v>
      </c>
      <c r="B37" s="52">
        <v>11308.53</v>
      </c>
      <c r="C37" s="53"/>
      <c r="D37" s="49">
        <v>16341</v>
      </c>
      <c r="E37" s="63"/>
      <c r="F37" s="49">
        <v>14206.07</v>
      </c>
      <c r="G37" s="53"/>
      <c r="H37" s="49">
        <f t="shared" ref="H37:H39" si="3">F37-D37</f>
        <v>-2134.9300000000003</v>
      </c>
    </row>
    <row r="38" spans="1:8" x14ac:dyDescent="0.25">
      <c r="A38" s="3" t="s">
        <v>98</v>
      </c>
      <c r="B38" s="52">
        <v>891</v>
      </c>
      <c r="C38" s="53"/>
      <c r="D38" s="49">
        <v>2377.5</v>
      </c>
      <c r="E38" s="63"/>
      <c r="F38" s="49">
        <v>5985.08</v>
      </c>
      <c r="G38" s="53"/>
      <c r="H38" s="49">
        <f t="shared" si="3"/>
        <v>3607.58</v>
      </c>
    </row>
    <row r="39" spans="1:8" x14ac:dyDescent="0.25">
      <c r="A39" s="3" t="s">
        <v>99</v>
      </c>
      <c r="B39" s="52">
        <v>212</v>
      </c>
      <c r="C39" s="53"/>
      <c r="D39" s="49">
        <v>0</v>
      </c>
      <c r="E39" s="63"/>
      <c r="F39" s="49">
        <v>0</v>
      </c>
      <c r="G39" s="53"/>
      <c r="H39" s="49">
        <f t="shared" si="3"/>
        <v>0</v>
      </c>
    </row>
    <row r="40" spans="1:8" x14ac:dyDescent="0.25">
      <c r="A40" s="3" t="s">
        <v>100</v>
      </c>
      <c r="B40" s="52">
        <v>2570.1</v>
      </c>
      <c r="C40" s="53"/>
      <c r="D40" s="49">
        <v>0</v>
      </c>
      <c r="E40" s="63"/>
      <c r="F40" s="49">
        <v>3152.17</v>
      </c>
      <c r="G40" s="53"/>
      <c r="H40" s="49">
        <f>F40-D40</f>
        <v>3152.17</v>
      </c>
    </row>
    <row r="41" spans="1:8" x14ac:dyDescent="0.25">
      <c r="A41" s="3" t="s">
        <v>101</v>
      </c>
      <c r="B41" s="52">
        <v>250</v>
      </c>
      <c r="C41" s="53"/>
      <c r="D41" s="49">
        <v>202.76</v>
      </c>
      <c r="E41" s="63"/>
      <c r="F41" s="49">
        <v>210</v>
      </c>
      <c r="G41" s="53"/>
      <c r="H41" s="49">
        <f t="shared" ref="H41:H90" si="4">F41-D41</f>
        <v>7.2400000000000091</v>
      </c>
    </row>
    <row r="42" spans="1:8" x14ac:dyDescent="0.25">
      <c r="A42" s="3" t="s">
        <v>264</v>
      </c>
      <c r="B42" s="52">
        <v>175</v>
      </c>
      <c r="C42" s="53"/>
      <c r="D42" s="49">
        <v>394</v>
      </c>
      <c r="E42" s="63"/>
      <c r="F42" s="49">
        <v>428</v>
      </c>
      <c r="G42" s="53"/>
      <c r="H42" s="49">
        <f t="shared" si="4"/>
        <v>34</v>
      </c>
    </row>
    <row r="43" spans="1:8" x14ac:dyDescent="0.25">
      <c r="A43" s="3" t="s">
        <v>102</v>
      </c>
      <c r="B43" s="54">
        <v>42.75</v>
      </c>
      <c r="C43" s="53"/>
      <c r="D43" s="55">
        <v>687.5</v>
      </c>
      <c r="E43" s="63"/>
      <c r="F43" s="55">
        <v>0</v>
      </c>
      <c r="G43" s="53"/>
      <c r="H43" s="49">
        <f t="shared" si="4"/>
        <v>-687.5</v>
      </c>
    </row>
    <row r="44" spans="1:8" x14ac:dyDescent="0.25">
      <c r="A44" s="3" t="s">
        <v>103</v>
      </c>
      <c r="B44" s="51"/>
      <c r="C44" s="50">
        <f>(B37+B38+B39+B40+B41+B43)</f>
        <v>15274.380000000001</v>
      </c>
      <c r="D44" s="49"/>
      <c r="E44" s="63">
        <f>SUM(D37:D43)</f>
        <v>20002.759999999998</v>
      </c>
      <c r="F44" s="49"/>
      <c r="G44" s="53">
        <f>SUM(F37:F43)</f>
        <v>23981.32</v>
      </c>
      <c r="H44" s="49">
        <f>G44-E44</f>
        <v>3978.5600000000013</v>
      </c>
    </row>
    <row r="45" spans="1:8" x14ac:dyDescent="0.25">
      <c r="A45" s="3" t="s">
        <v>104</v>
      </c>
      <c r="B45" s="52">
        <v>5100</v>
      </c>
      <c r="C45" s="53"/>
      <c r="D45" s="49">
        <v>4217.5</v>
      </c>
      <c r="E45" s="63"/>
      <c r="F45" s="49">
        <v>6963.61</v>
      </c>
      <c r="G45" s="53"/>
      <c r="H45" s="49">
        <f t="shared" si="4"/>
        <v>2746.1099999999997</v>
      </c>
    </row>
    <row r="46" spans="1:8" x14ac:dyDescent="0.25">
      <c r="A46" s="3" t="s">
        <v>105</v>
      </c>
      <c r="B46" s="52">
        <v>700</v>
      </c>
      <c r="C46" s="53"/>
      <c r="D46" s="49">
        <v>700</v>
      </c>
      <c r="E46" s="63"/>
      <c r="F46" s="49">
        <v>800</v>
      </c>
      <c r="G46" s="53"/>
      <c r="H46" s="49">
        <f t="shared" si="4"/>
        <v>100</v>
      </c>
    </row>
    <row r="47" spans="1:8" x14ac:dyDescent="0.25">
      <c r="A47" s="3" t="s">
        <v>106</v>
      </c>
      <c r="B47" s="52">
        <v>721.5</v>
      </c>
      <c r="C47" s="53"/>
      <c r="D47" s="49">
        <v>1242</v>
      </c>
      <c r="E47" s="63"/>
      <c r="F47" s="49">
        <v>814</v>
      </c>
      <c r="G47" s="53"/>
      <c r="H47" s="49">
        <f t="shared" si="4"/>
        <v>-428</v>
      </c>
    </row>
    <row r="48" spans="1:8" x14ac:dyDescent="0.25">
      <c r="A48" s="3" t="s">
        <v>107</v>
      </c>
      <c r="B48" s="52">
        <v>435</v>
      </c>
      <c r="C48" s="53"/>
      <c r="D48" s="49">
        <v>213</v>
      </c>
      <c r="E48" s="63"/>
      <c r="F48" s="49">
        <v>1041</v>
      </c>
      <c r="G48" s="53"/>
      <c r="H48" s="49">
        <f t="shared" si="4"/>
        <v>828</v>
      </c>
    </row>
    <row r="49" spans="1:8" x14ac:dyDescent="0.25">
      <c r="A49" s="3" t="s">
        <v>108</v>
      </c>
      <c r="B49" s="52">
        <v>218.3</v>
      </c>
      <c r="C49" s="53"/>
      <c r="D49" s="49">
        <v>124.6</v>
      </c>
      <c r="E49" s="63"/>
      <c r="F49" s="49">
        <v>110</v>
      </c>
      <c r="G49" s="53"/>
      <c r="H49" s="49">
        <f t="shared" si="4"/>
        <v>-14.599999999999994</v>
      </c>
    </row>
    <row r="50" spans="1:8" x14ac:dyDescent="0.25">
      <c r="A50" s="3" t="s">
        <v>109</v>
      </c>
      <c r="B50" s="52">
        <v>4198.42</v>
      </c>
      <c r="C50" s="53"/>
      <c r="D50" s="49">
        <v>5020.8999999999996</v>
      </c>
      <c r="E50" s="63"/>
      <c r="F50" s="49">
        <v>6279.09</v>
      </c>
      <c r="G50" s="53"/>
      <c r="H50" s="49">
        <f t="shared" si="4"/>
        <v>1258.1900000000005</v>
      </c>
    </row>
    <row r="51" spans="1:8" x14ac:dyDescent="0.25">
      <c r="A51" s="3" t="s">
        <v>110</v>
      </c>
      <c r="B51" s="52">
        <v>3887.11</v>
      </c>
      <c r="C51" s="53"/>
      <c r="D51" s="49">
        <v>5579.96</v>
      </c>
      <c r="E51" s="63"/>
      <c r="F51" s="49">
        <v>5442.41</v>
      </c>
      <c r="G51" s="53"/>
      <c r="H51" s="49">
        <f t="shared" si="4"/>
        <v>-137.55000000000018</v>
      </c>
    </row>
    <row r="52" spans="1:8" x14ac:dyDescent="0.25">
      <c r="A52" s="3" t="s">
        <v>111</v>
      </c>
      <c r="B52" s="52">
        <v>900</v>
      </c>
      <c r="C52" s="53"/>
      <c r="D52" s="49">
        <v>990</v>
      </c>
      <c r="E52" s="63"/>
      <c r="F52" s="49">
        <v>1480</v>
      </c>
      <c r="G52" s="53"/>
      <c r="H52" s="49">
        <f t="shared" si="4"/>
        <v>490</v>
      </c>
    </row>
    <row r="53" spans="1:8" x14ac:dyDescent="0.25">
      <c r="A53" s="3" t="s">
        <v>112</v>
      </c>
      <c r="B53" s="52">
        <v>11.76</v>
      </c>
      <c r="C53" s="53"/>
      <c r="D53" s="49">
        <v>68.27</v>
      </c>
      <c r="E53" s="63"/>
      <c r="F53" s="49">
        <v>0</v>
      </c>
      <c r="G53" s="53"/>
      <c r="H53" s="49">
        <f t="shared" si="4"/>
        <v>-68.27</v>
      </c>
    </row>
    <row r="54" spans="1:8" x14ac:dyDescent="0.25">
      <c r="A54" s="3" t="s">
        <v>113</v>
      </c>
      <c r="B54" s="52">
        <v>809.28</v>
      </c>
      <c r="C54" s="53"/>
      <c r="D54" s="49">
        <v>482.84</v>
      </c>
      <c r="E54" s="63"/>
      <c r="F54" s="49">
        <v>882.16</v>
      </c>
      <c r="G54" s="53"/>
      <c r="H54" s="49">
        <f t="shared" si="4"/>
        <v>399.32</v>
      </c>
    </row>
    <row r="55" spans="1:8" x14ac:dyDescent="0.25">
      <c r="A55" s="3" t="s">
        <v>114</v>
      </c>
      <c r="B55" s="52">
        <v>15295.59</v>
      </c>
      <c r="C55" s="53"/>
      <c r="D55" s="49">
        <v>22490</v>
      </c>
      <c r="E55" s="63"/>
      <c r="F55" s="49">
        <v>12090</v>
      </c>
      <c r="G55" s="53"/>
      <c r="H55" s="49">
        <f t="shared" si="4"/>
        <v>-10400</v>
      </c>
    </row>
    <row r="56" spans="1:8" x14ac:dyDescent="0.25">
      <c r="A56" s="3" t="s">
        <v>115</v>
      </c>
      <c r="B56" s="52">
        <v>188</v>
      </c>
      <c r="C56" s="53"/>
      <c r="D56" s="49">
        <v>0</v>
      </c>
      <c r="E56" s="63"/>
      <c r="F56" s="49">
        <v>408</v>
      </c>
      <c r="G56" s="53"/>
      <c r="H56" s="49">
        <f t="shared" si="4"/>
        <v>408</v>
      </c>
    </row>
    <row r="57" spans="1:8" x14ac:dyDescent="0.25">
      <c r="A57" s="3" t="s">
        <v>134</v>
      </c>
      <c r="B57" s="54">
        <v>0</v>
      </c>
      <c r="C57" s="53"/>
      <c r="D57" s="55">
        <v>257.83</v>
      </c>
      <c r="E57" s="63"/>
      <c r="F57" s="55">
        <v>452.38</v>
      </c>
      <c r="G57" s="53"/>
      <c r="H57" s="49">
        <f t="shared" si="4"/>
        <v>194.55</v>
      </c>
    </row>
    <row r="58" spans="1:8" x14ac:dyDescent="0.25">
      <c r="A58" s="3" t="s">
        <v>116</v>
      </c>
      <c r="B58" s="51"/>
      <c r="C58" s="50">
        <f>(B45+B46+B47+B48+B49+B50+B51+B52+B53+B54+B55+B56)</f>
        <v>32464.960000000003</v>
      </c>
      <c r="D58" s="49"/>
      <c r="E58" s="63">
        <f>SUM(D45:D57)</f>
        <v>41386.9</v>
      </c>
      <c r="F58" s="49"/>
      <c r="G58" s="53">
        <f>SUM(F45:F57)</f>
        <v>36762.65</v>
      </c>
      <c r="H58" s="49">
        <f>G58-E58</f>
        <v>-4624.25</v>
      </c>
    </row>
    <row r="59" spans="1:8" x14ac:dyDescent="0.25">
      <c r="A59" s="3" t="s">
        <v>117</v>
      </c>
      <c r="B59" s="52">
        <v>6060.6</v>
      </c>
      <c r="C59" s="53"/>
      <c r="D59" s="49">
        <v>4349.84</v>
      </c>
      <c r="E59" s="63"/>
      <c r="F59" s="49">
        <v>5264.87</v>
      </c>
      <c r="G59" s="53"/>
      <c r="H59" s="49">
        <f t="shared" si="4"/>
        <v>915.02999999999975</v>
      </c>
    </row>
    <row r="60" spans="1:8" x14ac:dyDescent="0.25">
      <c r="A60" s="3" t="s">
        <v>110</v>
      </c>
      <c r="B60" s="54">
        <v>406.78</v>
      </c>
      <c r="C60" s="53"/>
      <c r="D60" s="55">
        <v>1000</v>
      </c>
      <c r="E60" s="63"/>
      <c r="F60" s="55">
        <v>0</v>
      </c>
      <c r="G60" s="53"/>
      <c r="H60" s="49">
        <f t="shared" si="4"/>
        <v>-1000</v>
      </c>
    </row>
    <row r="61" spans="1:8" x14ac:dyDescent="0.25">
      <c r="A61" s="3" t="s">
        <v>118</v>
      </c>
      <c r="B61" s="51"/>
      <c r="C61" s="50">
        <f>(B59+B60)</f>
        <v>6467.38</v>
      </c>
      <c r="D61" s="49"/>
      <c r="E61" s="63">
        <f>SUM(D59:D60)</f>
        <v>5349.84</v>
      </c>
      <c r="F61" s="49"/>
      <c r="G61" s="53">
        <f>SUM(F59:F60)</f>
        <v>5264.87</v>
      </c>
      <c r="H61" s="49">
        <f>G61-E61</f>
        <v>-84.970000000000255</v>
      </c>
    </row>
    <row r="62" spans="1:8" x14ac:dyDescent="0.25">
      <c r="A62" s="3" t="s">
        <v>119</v>
      </c>
      <c r="B62" s="52">
        <v>15876</v>
      </c>
      <c r="C62" s="53"/>
      <c r="D62" s="49">
        <v>16669.8</v>
      </c>
      <c r="E62" s="63"/>
      <c r="F62" s="55">
        <v>20951.849999999999</v>
      </c>
      <c r="G62" s="53"/>
      <c r="H62" s="49">
        <f t="shared" si="4"/>
        <v>4282.0499999999993</v>
      </c>
    </row>
    <row r="63" spans="1:8" x14ac:dyDescent="0.25">
      <c r="A63" s="3" t="s">
        <v>120</v>
      </c>
      <c r="B63" s="51"/>
      <c r="C63" s="50">
        <f>(B62)</f>
        <v>15876</v>
      </c>
      <c r="D63" s="49"/>
      <c r="E63" s="63">
        <f>SUM(D62:D62)</f>
        <v>16669.8</v>
      </c>
      <c r="F63" s="49"/>
      <c r="G63" s="53">
        <f>SUM(F62)</f>
        <v>20951.849999999999</v>
      </c>
      <c r="H63" s="49">
        <f>G63-E63</f>
        <v>4282.0499999999993</v>
      </c>
    </row>
    <row r="64" spans="1:8" x14ac:dyDescent="0.25">
      <c r="A64" s="3" t="s">
        <v>121</v>
      </c>
      <c r="B64" s="52">
        <v>5403</v>
      </c>
      <c r="C64" s="53"/>
      <c r="D64" s="49">
        <v>7156.34</v>
      </c>
      <c r="E64" s="63"/>
      <c r="F64" s="49">
        <v>7679.75</v>
      </c>
      <c r="G64" s="53"/>
      <c r="H64" s="49">
        <f t="shared" si="4"/>
        <v>523.40999999999985</v>
      </c>
    </row>
    <row r="65" spans="1:8" x14ac:dyDescent="0.25">
      <c r="A65" s="3" t="s">
        <v>122</v>
      </c>
      <c r="B65" s="52">
        <v>973</v>
      </c>
      <c r="C65" s="53"/>
      <c r="D65" s="49">
        <v>2039.89</v>
      </c>
      <c r="E65" s="63"/>
      <c r="F65" s="49">
        <v>971</v>
      </c>
      <c r="G65" s="53"/>
      <c r="H65" s="49">
        <f t="shared" si="4"/>
        <v>-1068.8900000000001</v>
      </c>
    </row>
    <row r="66" spans="1:8" x14ac:dyDescent="0.25">
      <c r="A66" s="3" t="s">
        <v>123</v>
      </c>
      <c r="B66" s="52">
        <v>300</v>
      </c>
      <c r="C66" s="53"/>
      <c r="D66" s="49">
        <v>0</v>
      </c>
      <c r="E66" s="63"/>
      <c r="F66" s="49">
        <v>0</v>
      </c>
      <c r="G66" s="53"/>
      <c r="H66" s="49">
        <f t="shared" si="4"/>
        <v>0</v>
      </c>
    </row>
    <row r="67" spans="1:8" x14ac:dyDescent="0.25">
      <c r="A67" s="3" t="s">
        <v>124</v>
      </c>
      <c r="B67" s="52">
        <v>129.69999999999999</v>
      </c>
      <c r="C67" s="53"/>
      <c r="D67" s="49">
        <v>52.46</v>
      </c>
      <c r="E67" s="63"/>
      <c r="F67" s="49">
        <v>30.44</v>
      </c>
      <c r="G67" s="53"/>
      <c r="H67" s="49">
        <f t="shared" si="4"/>
        <v>-22.02</v>
      </c>
    </row>
    <row r="68" spans="1:8" x14ac:dyDescent="0.25">
      <c r="A68" s="3" t="s">
        <v>125</v>
      </c>
      <c r="B68" s="52">
        <v>18.989999999999998</v>
      </c>
      <c r="C68" s="53"/>
      <c r="D68" s="49">
        <v>405.29</v>
      </c>
      <c r="E68" s="63"/>
      <c r="F68" s="49">
        <v>0</v>
      </c>
      <c r="G68" s="53"/>
      <c r="H68" s="49">
        <f t="shared" si="4"/>
        <v>-405.29</v>
      </c>
    </row>
    <row r="69" spans="1:8" x14ac:dyDescent="0.25">
      <c r="A69" s="3" t="s">
        <v>126</v>
      </c>
      <c r="B69" s="52">
        <v>182.52</v>
      </c>
      <c r="C69" s="53"/>
      <c r="D69" s="49">
        <v>0</v>
      </c>
      <c r="E69" s="63"/>
      <c r="F69" s="49">
        <v>56.67</v>
      </c>
      <c r="G69" s="53"/>
      <c r="H69" s="49">
        <f t="shared" si="4"/>
        <v>56.67</v>
      </c>
    </row>
    <row r="70" spans="1:8" x14ac:dyDescent="0.25">
      <c r="A70" s="3" t="s">
        <v>127</v>
      </c>
      <c r="B70" s="54">
        <v>95.52</v>
      </c>
      <c r="C70" s="53"/>
      <c r="D70" s="55">
        <v>0</v>
      </c>
      <c r="E70" s="63"/>
      <c r="F70" s="55">
        <v>9.19</v>
      </c>
      <c r="G70" s="53"/>
      <c r="H70" s="49">
        <f t="shared" si="4"/>
        <v>9.19</v>
      </c>
    </row>
    <row r="71" spans="1:8" x14ac:dyDescent="0.25">
      <c r="A71" s="3" t="s">
        <v>128</v>
      </c>
      <c r="B71" s="51"/>
      <c r="C71" s="50">
        <f>(B64+B65+B66+B67+B68+B69+B70)</f>
        <v>7102.7300000000005</v>
      </c>
      <c r="D71" s="49"/>
      <c r="E71" s="63">
        <f>SUM(D64:D70)</f>
        <v>9653.98</v>
      </c>
      <c r="F71" s="49"/>
      <c r="G71" s="53">
        <f>SUM(F64:F70)</f>
        <v>8747.0500000000011</v>
      </c>
      <c r="H71" s="49">
        <f>G71-E71</f>
        <v>-906.92999999999847</v>
      </c>
    </row>
    <row r="72" spans="1:8" x14ac:dyDescent="0.25">
      <c r="A72" s="3" t="s">
        <v>129</v>
      </c>
      <c r="B72" s="52">
        <v>644.16999999999996</v>
      </c>
      <c r="C72" s="53"/>
      <c r="D72" s="49">
        <v>1150.77</v>
      </c>
      <c r="E72" s="63"/>
      <c r="F72" s="49">
        <v>987.25</v>
      </c>
      <c r="G72" s="53"/>
      <c r="H72" s="49">
        <f t="shared" si="4"/>
        <v>-163.51999999999998</v>
      </c>
    </row>
    <row r="73" spans="1:8" x14ac:dyDescent="0.25">
      <c r="A73" s="3" t="s">
        <v>130</v>
      </c>
      <c r="B73" s="52">
        <v>74.25</v>
      </c>
      <c r="C73" s="53"/>
      <c r="D73" s="49">
        <v>0</v>
      </c>
      <c r="E73" s="63"/>
      <c r="F73" s="49">
        <v>603.82000000000005</v>
      </c>
      <c r="G73" s="53"/>
      <c r="H73" s="49">
        <f t="shared" si="4"/>
        <v>603.82000000000005</v>
      </c>
    </row>
    <row r="74" spans="1:8" x14ac:dyDescent="0.25">
      <c r="A74" s="3" t="s">
        <v>265</v>
      </c>
      <c r="B74" s="52">
        <v>3356.18</v>
      </c>
      <c r="C74" s="53"/>
      <c r="D74" s="49">
        <v>3960.41</v>
      </c>
      <c r="E74" s="63"/>
      <c r="F74" s="49">
        <v>3034.12</v>
      </c>
      <c r="G74" s="53"/>
      <c r="H74" s="49">
        <f t="shared" si="4"/>
        <v>-926.29</v>
      </c>
    </row>
    <row r="75" spans="1:8" x14ac:dyDescent="0.25">
      <c r="A75" s="3" t="s">
        <v>314</v>
      </c>
      <c r="B75" s="52"/>
      <c r="C75" s="53"/>
      <c r="D75" s="49"/>
      <c r="E75" s="63"/>
      <c r="F75" s="49">
        <v>478.05</v>
      </c>
      <c r="G75" s="53"/>
      <c r="H75" s="49">
        <f t="shared" si="4"/>
        <v>478.05</v>
      </c>
    </row>
    <row r="76" spans="1:8" x14ac:dyDescent="0.25">
      <c r="A76" s="3" t="s">
        <v>266</v>
      </c>
      <c r="B76" s="54">
        <v>0</v>
      </c>
      <c r="C76" s="53"/>
      <c r="D76" s="55">
        <v>220.02</v>
      </c>
      <c r="E76" s="63"/>
      <c r="F76" s="55">
        <v>478.05</v>
      </c>
      <c r="G76" s="53"/>
      <c r="H76" s="49">
        <f t="shared" si="4"/>
        <v>258.02999999999997</v>
      </c>
    </row>
    <row r="77" spans="1:8" x14ac:dyDescent="0.25">
      <c r="A77" s="3" t="s">
        <v>94</v>
      </c>
      <c r="B77" s="51"/>
      <c r="C77" s="50">
        <f>SUM(B72:B74)</f>
        <v>4074.6</v>
      </c>
      <c r="D77" s="49"/>
      <c r="E77" s="63">
        <f>SUM(D72:D76)</f>
        <v>5331.2000000000007</v>
      </c>
      <c r="F77" s="49"/>
      <c r="G77" s="53">
        <f>SUM(F72:F76)</f>
        <v>5581.2900000000009</v>
      </c>
      <c r="H77" s="49">
        <f>G77-E77</f>
        <v>250.09000000000015</v>
      </c>
    </row>
    <row r="78" spans="1:8" x14ac:dyDescent="0.25">
      <c r="A78" s="3" t="s">
        <v>267</v>
      </c>
      <c r="B78" s="52">
        <v>0</v>
      </c>
      <c r="C78" s="53"/>
      <c r="D78" s="49">
        <v>34.380000000000003</v>
      </c>
      <c r="E78" s="63"/>
      <c r="F78" s="49">
        <v>281.33</v>
      </c>
      <c r="G78" s="53"/>
      <c r="H78" s="49">
        <f t="shared" si="4"/>
        <v>246.95</v>
      </c>
    </row>
    <row r="79" spans="1:8" x14ac:dyDescent="0.25">
      <c r="A79" s="3" t="s">
        <v>131</v>
      </c>
      <c r="B79" s="54">
        <v>892.24</v>
      </c>
      <c r="C79" s="53"/>
      <c r="D79" s="55">
        <v>20.75</v>
      </c>
      <c r="E79" s="63"/>
      <c r="F79" s="55">
        <v>0</v>
      </c>
      <c r="G79" s="53"/>
      <c r="H79" s="49">
        <f t="shared" si="4"/>
        <v>-20.75</v>
      </c>
    </row>
    <row r="80" spans="1:8" x14ac:dyDescent="0.25">
      <c r="A80" s="3" t="s">
        <v>132</v>
      </c>
      <c r="B80" s="51"/>
      <c r="C80" s="50">
        <f>SUM(B78:B79)</f>
        <v>892.24</v>
      </c>
      <c r="D80" s="49"/>
      <c r="E80" s="63">
        <f>SUM(D78:D79)</f>
        <v>55.13</v>
      </c>
      <c r="F80" s="49"/>
      <c r="G80" s="53">
        <f>SUM(F78:F79)</f>
        <v>281.33</v>
      </c>
      <c r="H80" s="49">
        <f>G80-E80</f>
        <v>226.2</v>
      </c>
    </row>
    <row r="81" spans="1:8" x14ac:dyDescent="0.25">
      <c r="A81" s="3" t="s">
        <v>315</v>
      </c>
      <c r="B81" s="51">
        <v>2955</v>
      </c>
      <c r="C81" s="50"/>
      <c r="D81" s="49">
        <v>13.25</v>
      </c>
      <c r="E81" s="63"/>
      <c r="F81" s="49">
        <v>802.5</v>
      </c>
      <c r="G81" s="53"/>
      <c r="H81" s="49">
        <f t="shared" si="4"/>
        <v>789.25</v>
      </c>
    </row>
    <row r="82" spans="1:8" x14ac:dyDescent="0.25">
      <c r="A82" s="3" t="s">
        <v>284</v>
      </c>
      <c r="B82" s="75">
        <v>0</v>
      </c>
      <c r="C82" s="50"/>
      <c r="D82" s="55">
        <v>238</v>
      </c>
      <c r="E82" s="63"/>
      <c r="F82" s="55">
        <v>217.45</v>
      </c>
      <c r="G82" s="53"/>
      <c r="H82" s="49">
        <f t="shared" si="4"/>
        <v>-20.550000000000011</v>
      </c>
    </row>
    <row r="83" spans="1:8" x14ac:dyDescent="0.25">
      <c r="A83" s="3" t="s">
        <v>285</v>
      </c>
      <c r="B83" s="51"/>
      <c r="C83" s="50">
        <f>SUM(B81:B82)</f>
        <v>2955</v>
      </c>
      <c r="D83" s="49"/>
      <c r="E83" s="63">
        <f>SUM(D81:D82)</f>
        <v>251.25</v>
      </c>
      <c r="F83" s="49"/>
      <c r="G83" s="53">
        <f>SUM(F81:F82)</f>
        <v>1019.95</v>
      </c>
      <c r="H83" s="49">
        <f>G83-E83</f>
        <v>768.7</v>
      </c>
    </row>
    <row r="84" spans="1:8" x14ac:dyDescent="0.25">
      <c r="A84" s="3" t="s">
        <v>133</v>
      </c>
      <c r="B84" s="52">
        <v>50</v>
      </c>
      <c r="C84" s="53"/>
      <c r="D84" s="49">
        <v>115</v>
      </c>
      <c r="E84" s="63"/>
      <c r="F84" s="49">
        <v>0</v>
      </c>
      <c r="G84" s="53"/>
      <c r="H84" s="49">
        <f t="shared" si="4"/>
        <v>-115</v>
      </c>
    </row>
    <row r="85" spans="1:8" x14ac:dyDescent="0.25">
      <c r="A85" s="3" t="s">
        <v>281</v>
      </c>
      <c r="B85" s="52">
        <v>0</v>
      </c>
      <c r="C85" s="53"/>
      <c r="D85" s="49">
        <v>725.76</v>
      </c>
      <c r="E85" s="63"/>
      <c r="F85" s="49">
        <v>0</v>
      </c>
      <c r="G85" s="53"/>
      <c r="H85" s="49">
        <f t="shared" si="4"/>
        <v>-725.76</v>
      </c>
    </row>
    <row r="86" spans="1:8" x14ac:dyDescent="0.25">
      <c r="A86" s="3" t="s">
        <v>282</v>
      </c>
      <c r="B86" s="52">
        <v>1291</v>
      </c>
      <c r="C86" s="53"/>
      <c r="D86" s="49">
        <v>1461</v>
      </c>
      <c r="E86" s="63"/>
      <c r="F86" s="49">
        <v>839.18</v>
      </c>
      <c r="G86" s="53"/>
      <c r="H86" s="49">
        <f t="shared" si="4"/>
        <v>-621.82000000000005</v>
      </c>
    </row>
    <row r="87" spans="1:8" x14ac:dyDescent="0.25">
      <c r="A87" s="3" t="s">
        <v>283</v>
      </c>
      <c r="B87" s="52">
        <v>2175</v>
      </c>
      <c r="C87" s="53"/>
      <c r="D87" s="49">
        <v>1522.19</v>
      </c>
      <c r="E87" s="63"/>
      <c r="F87" s="49">
        <v>1367.63</v>
      </c>
      <c r="G87" s="53"/>
      <c r="H87" s="49">
        <f t="shared" si="4"/>
        <v>-154.55999999999995</v>
      </c>
    </row>
    <row r="88" spans="1:8" x14ac:dyDescent="0.25">
      <c r="A88" s="3" t="s">
        <v>280</v>
      </c>
      <c r="B88" s="52">
        <v>449.78</v>
      </c>
      <c r="C88" s="53"/>
      <c r="D88" s="49">
        <v>443.28</v>
      </c>
      <c r="E88" s="63"/>
      <c r="F88" s="49">
        <v>333.4</v>
      </c>
      <c r="G88" s="53"/>
      <c r="H88" s="49">
        <f t="shared" si="4"/>
        <v>-109.88</v>
      </c>
    </row>
    <row r="89" spans="1:8" x14ac:dyDescent="0.25">
      <c r="A89" s="3" t="s">
        <v>316</v>
      </c>
      <c r="B89" s="52"/>
      <c r="C89" s="53"/>
      <c r="D89" s="49"/>
      <c r="E89" s="63"/>
      <c r="F89" s="49">
        <v>759.58</v>
      </c>
      <c r="G89" s="53"/>
      <c r="H89" s="49">
        <f t="shared" si="4"/>
        <v>759.58</v>
      </c>
    </row>
    <row r="90" spans="1:8" x14ac:dyDescent="0.25">
      <c r="A90" s="3" t="s">
        <v>134</v>
      </c>
      <c r="B90" s="52"/>
      <c r="C90" s="53"/>
      <c r="D90" s="49"/>
      <c r="E90" s="63"/>
      <c r="F90" s="55">
        <v>3027.12</v>
      </c>
      <c r="G90" s="53"/>
      <c r="H90" s="49">
        <f t="shared" si="4"/>
        <v>3027.12</v>
      </c>
    </row>
    <row r="91" spans="1:8" x14ac:dyDescent="0.25">
      <c r="A91" s="1" t="s">
        <v>348</v>
      </c>
      <c r="B91" s="51"/>
      <c r="C91" s="50">
        <f>SUM(B84:B88)</f>
        <v>3965.7799999999997</v>
      </c>
      <c r="D91" s="49"/>
      <c r="E91" s="63">
        <f>SUM(D84:D88)</f>
        <v>4267.2300000000005</v>
      </c>
      <c r="F91" s="49"/>
      <c r="G91" s="53">
        <f>SUM(F84:F90)</f>
        <v>6326.91</v>
      </c>
      <c r="H91" s="49">
        <f>G91-E91</f>
        <v>2059.6799999999994</v>
      </c>
    </row>
    <row r="92" spans="1:8" x14ac:dyDescent="0.25">
      <c r="A92" s="3" t="s">
        <v>294</v>
      </c>
      <c r="B92" s="51">
        <v>175</v>
      </c>
      <c r="C92" s="50"/>
      <c r="D92" s="49">
        <v>743.05</v>
      </c>
      <c r="E92" s="63"/>
      <c r="F92" s="49">
        <v>0</v>
      </c>
      <c r="G92" s="53"/>
      <c r="H92" s="49">
        <f>F92-D92</f>
        <v>-743.05</v>
      </c>
    </row>
    <row r="93" spans="1:8" x14ac:dyDescent="0.25">
      <c r="A93" s="3" t="s">
        <v>286</v>
      </c>
      <c r="B93" s="75">
        <v>0</v>
      </c>
      <c r="C93" s="50"/>
      <c r="D93" s="55">
        <f>1960+127.64</f>
        <v>2087.64</v>
      </c>
      <c r="E93" s="63"/>
      <c r="F93" s="55">
        <v>0</v>
      </c>
      <c r="G93" s="53"/>
      <c r="H93" s="49">
        <f>F93-D93</f>
        <v>-2087.64</v>
      </c>
    </row>
    <row r="94" spans="1:8" x14ac:dyDescent="0.25">
      <c r="A94" s="3" t="s">
        <v>67</v>
      </c>
      <c r="B94" s="51"/>
      <c r="C94" s="50">
        <f>SUM(B92:B93)</f>
        <v>175</v>
      </c>
      <c r="D94" s="49"/>
      <c r="E94" s="64">
        <f>SUM(D92:D93)</f>
        <v>2830.6899999999996</v>
      </c>
      <c r="F94" s="49"/>
      <c r="G94" s="59">
        <f>SUM(F92:F93)</f>
        <v>0</v>
      </c>
      <c r="H94" s="49">
        <f>G94-E94</f>
        <v>-2830.6899999999996</v>
      </c>
    </row>
    <row r="95" spans="1:8" x14ac:dyDescent="0.25">
      <c r="A95" s="1" t="s">
        <v>135</v>
      </c>
      <c r="B95" s="51"/>
      <c r="C95" s="57">
        <f>SUBTOTAL(9,C35:C94)</f>
        <v>89248.07</v>
      </c>
      <c r="D95" s="49"/>
      <c r="E95" s="64">
        <f>SUM(E44,E58,E63,E71,E77,E80,E91,E61,E83,E94)</f>
        <v>105798.78</v>
      </c>
      <c r="F95" s="49"/>
      <c r="G95" s="60">
        <f>SUM(G44+G58+G61+G63+G71+G77+G80+G83+G91+G94)</f>
        <v>108917.22</v>
      </c>
      <c r="H95" s="49">
        <f>G95-E95</f>
        <v>3118.4400000000023</v>
      </c>
    </row>
    <row r="98" spans="1:8" s="76" customFormat="1" ht="18.75" x14ac:dyDescent="0.3">
      <c r="A98" s="76" t="s">
        <v>223</v>
      </c>
      <c r="C98" s="77">
        <f>C33-C95</f>
        <v>5975.7399999999907</v>
      </c>
      <c r="D98" s="77"/>
      <c r="E98" s="77">
        <f>E33-E95</f>
        <v>31517.53</v>
      </c>
      <c r="F98" s="77"/>
      <c r="G98" s="77">
        <f>G33-G95</f>
        <v>9180.0799999999872</v>
      </c>
      <c r="H98" s="78">
        <f>G98-E98</f>
        <v>-22337.450000000012</v>
      </c>
    </row>
  </sheetData>
  <pageMargins left="0.7" right="0.7" top="0.75" bottom="0.75" header="0.3" footer="0.3"/>
  <pageSetup scale="60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62"/>
  <sheetViews>
    <sheetView topLeftCell="A30" zoomScale="150" zoomScaleNormal="150" workbookViewId="0">
      <selection activeCell="G41" sqref="G41"/>
    </sheetView>
  </sheetViews>
  <sheetFormatPr baseColWidth="10" defaultRowHeight="15" x14ac:dyDescent="0.25"/>
  <cols>
    <col min="1" max="1" width="19.42578125" customWidth="1"/>
    <col min="2" max="2" width="19.28515625" customWidth="1"/>
    <col min="3" max="3" width="13.140625" customWidth="1"/>
    <col min="4" max="4" width="18.140625" customWidth="1"/>
    <col min="5" max="5" width="14.140625" customWidth="1"/>
    <col min="6" max="6" width="25.140625" style="61" customWidth="1"/>
    <col min="7" max="7" width="17.42578125" style="61" customWidth="1"/>
    <col min="8" max="8" width="15" customWidth="1"/>
  </cols>
  <sheetData>
    <row r="1" spans="1:8" ht="15.75" x14ac:dyDescent="0.25">
      <c r="A1" s="26" t="s">
        <v>0</v>
      </c>
    </row>
    <row r="2" spans="1:8" ht="15.75" x14ac:dyDescent="0.25">
      <c r="A2" s="26" t="s">
        <v>274</v>
      </c>
    </row>
    <row r="3" spans="1:8" ht="15.75" x14ac:dyDescent="0.25">
      <c r="A3" s="26" t="s">
        <v>331</v>
      </c>
    </row>
    <row r="5" spans="1:8" x14ac:dyDescent="0.25">
      <c r="A5" s="3" t="s">
        <v>3</v>
      </c>
      <c r="B5" s="4" t="s">
        <v>4</v>
      </c>
      <c r="C5" s="7"/>
      <c r="D5" s="4" t="s">
        <v>259</v>
      </c>
      <c r="E5" s="62"/>
      <c r="F5" s="55" t="s">
        <v>296</v>
      </c>
      <c r="H5" t="s">
        <v>332</v>
      </c>
    </row>
    <row r="7" spans="1:8" x14ac:dyDescent="0.25">
      <c r="A7" s="1" t="s">
        <v>338</v>
      </c>
      <c r="B7" s="49"/>
      <c r="C7" s="53"/>
      <c r="D7" s="49"/>
      <c r="E7" s="53"/>
      <c r="F7" s="49"/>
      <c r="G7" s="53"/>
    </row>
    <row r="8" spans="1:8" x14ac:dyDescent="0.25">
      <c r="A8" s="3" t="s">
        <v>59</v>
      </c>
      <c r="B8" s="51"/>
      <c r="C8" s="50">
        <v>25840.15</v>
      </c>
      <c r="D8" s="49"/>
      <c r="E8" s="63">
        <v>20769.32</v>
      </c>
      <c r="F8" s="49"/>
      <c r="G8" s="53">
        <v>21421</v>
      </c>
      <c r="H8" s="49">
        <f>G8-E8</f>
        <v>651.68000000000029</v>
      </c>
    </row>
    <row r="9" spans="1:8" x14ac:dyDescent="0.25">
      <c r="A9" s="3" t="s">
        <v>61</v>
      </c>
      <c r="B9" s="51"/>
      <c r="C9" s="50">
        <v>1400.56</v>
      </c>
      <c r="D9" s="49"/>
      <c r="E9" s="63">
        <v>2493.9699999999998</v>
      </c>
      <c r="F9" s="49"/>
      <c r="G9" s="53">
        <v>598.13</v>
      </c>
      <c r="H9" s="49">
        <f t="shared" ref="H9:H13" si="0">G9-E9</f>
        <v>-1895.8399999999997</v>
      </c>
    </row>
    <row r="10" spans="1:8" x14ac:dyDescent="0.25">
      <c r="A10" s="3" t="s">
        <v>65</v>
      </c>
      <c r="B10" s="51"/>
      <c r="C10" s="50"/>
      <c r="D10" s="49"/>
      <c r="E10" s="63"/>
      <c r="F10" s="49"/>
      <c r="G10" s="53">
        <v>200</v>
      </c>
      <c r="H10" s="49">
        <f t="shared" si="0"/>
        <v>200</v>
      </c>
    </row>
    <row r="11" spans="1:8" x14ac:dyDescent="0.25">
      <c r="A11" s="3" t="s">
        <v>69</v>
      </c>
      <c r="B11" s="51"/>
      <c r="C11" s="50">
        <v>899.68</v>
      </c>
      <c r="D11" s="49"/>
      <c r="E11" s="63">
        <v>688.15</v>
      </c>
      <c r="F11" s="49"/>
      <c r="G11" s="53">
        <v>1860.32</v>
      </c>
      <c r="H11" s="49">
        <f t="shared" si="0"/>
        <v>1172.17</v>
      </c>
    </row>
    <row r="12" spans="1:8" x14ac:dyDescent="0.25">
      <c r="A12" s="3" t="s">
        <v>260</v>
      </c>
      <c r="B12" s="51"/>
      <c r="C12" s="56">
        <v>0</v>
      </c>
      <c r="D12" s="49"/>
      <c r="E12" s="64">
        <v>1426.03</v>
      </c>
      <c r="F12" s="49"/>
      <c r="G12" s="59">
        <v>0</v>
      </c>
      <c r="H12" s="49">
        <f t="shared" si="0"/>
        <v>-1426.03</v>
      </c>
    </row>
    <row r="13" spans="1:8" x14ac:dyDescent="0.25">
      <c r="A13" s="1" t="s">
        <v>70</v>
      </c>
      <c r="B13" s="51"/>
      <c r="C13" s="57">
        <f>SUBTOTAL(9,C6:C12)</f>
        <v>28140.390000000003</v>
      </c>
      <c r="D13" s="49"/>
      <c r="E13" s="65">
        <f>SUM(E8:E12)</f>
        <v>25377.47</v>
      </c>
      <c r="F13" s="49"/>
      <c r="G13" s="60">
        <f>SUM(G8:G12)</f>
        <v>24079.45</v>
      </c>
      <c r="H13" s="49">
        <f t="shared" si="0"/>
        <v>-1298.0200000000004</v>
      </c>
    </row>
    <row r="14" spans="1:8" x14ac:dyDescent="0.25">
      <c r="A14" s="1"/>
      <c r="B14" s="51"/>
      <c r="C14" s="50"/>
      <c r="D14" s="51"/>
      <c r="E14" s="50"/>
      <c r="F14" s="49"/>
      <c r="G14" s="53"/>
    </row>
    <row r="15" spans="1:8" x14ac:dyDescent="0.25">
      <c r="A15" s="1" t="s">
        <v>339</v>
      </c>
      <c r="B15" s="49"/>
      <c r="C15" s="53"/>
      <c r="D15" s="49"/>
      <c r="E15" s="53"/>
      <c r="F15" s="49"/>
      <c r="G15" s="53"/>
    </row>
    <row r="16" spans="1:8" x14ac:dyDescent="0.25">
      <c r="A16" s="3" t="s">
        <v>59</v>
      </c>
      <c r="B16" s="51"/>
      <c r="C16" s="50">
        <v>0</v>
      </c>
      <c r="D16" s="51"/>
      <c r="E16" s="53">
        <v>13648.48</v>
      </c>
      <c r="F16" s="49"/>
      <c r="G16" s="53">
        <v>0</v>
      </c>
      <c r="H16" s="49">
        <f>G16-E16</f>
        <v>-13648.48</v>
      </c>
    </row>
    <row r="17" spans="1:8" x14ac:dyDescent="0.25">
      <c r="A17" s="3" t="s">
        <v>61</v>
      </c>
      <c r="B17" s="51"/>
      <c r="C17" s="50">
        <v>0</v>
      </c>
      <c r="D17" s="51"/>
      <c r="E17" s="53">
        <v>0</v>
      </c>
      <c r="F17" s="49"/>
      <c r="G17" s="53">
        <v>0</v>
      </c>
      <c r="H17" s="49">
        <f t="shared" ref="H17:H19" si="1">G17-E17</f>
        <v>0</v>
      </c>
    </row>
    <row r="18" spans="1:8" x14ac:dyDescent="0.25">
      <c r="A18" s="3" t="s">
        <v>69</v>
      </c>
      <c r="B18" s="51"/>
      <c r="C18" s="56">
        <v>0</v>
      </c>
      <c r="D18" s="51"/>
      <c r="E18" s="59">
        <v>261.99</v>
      </c>
      <c r="F18" s="49"/>
      <c r="G18" s="59">
        <v>0</v>
      </c>
      <c r="H18" s="49">
        <f t="shared" si="1"/>
        <v>-261.99</v>
      </c>
    </row>
    <row r="19" spans="1:8" x14ac:dyDescent="0.25">
      <c r="A19" s="1" t="s">
        <v>70</v>
      </c>
      <c r="B19" s="51"/>
      <c r="C19" s="57">
        <v>0</v>
      </c>
      <c r="D19" s="51"/>
      <c r="E19" s="57">
        <f>SUM(E16:E18)</f>
        <v>13910.47</v>
      </c>
      <c r="F19" s="49"/>
      <c r="G19" s="60">
        <f>SUM(G16:G18)</f>
        <v>0</v>
      </c>
      <c r="H19" s="49">
        <f t="shared" si="1"/>
        <v>-13910.47</v>
      </c>
    </row>
    <row r="20" spans="1:8" x14ac:dyDescent="0.25">
      <c r="B20" s="49"/>
      <c r="C20" s="53"/>
      <c r="D20" s="49"/>
      <c r="E20" s="53"/>
      <c r="F20" s="49"/>
      <c r="G20" s="53"/>
    </row>
    <row r="21" spans="1:8" x14ac:dyDescent="0.25">
      <c r="A21" s="1" t="s">
        <v>71</v>
      </c>
      <c r="B21" s="51"/>
      <c r="C21" s="56">
        <f>C12+C19</f>
        <v>0</v>
      </c>
      <c r="D21" s="51"/>
      <c r="E21" s="56">
        <f>E13+E19</f>
        <v>39287.94</v>
      </c>
      <c r="F21" s="49"/>
      <c r="G21" s="59">
        <f>G12+G19</f>
        <v>0</v>
      </c>
      <c r="H21" s="49">
        <f>G21-E21</f>
        <v>-39287.94</v>
      </c>
    </row>
    <row r="23" spans="1:8" x14ac:dyDescent="0.25">
      <c r="A23" s="1" t="s">
        <v>340</v>
      </c>
      <c r="B23" s="49"/>
      <c r="C23" s="53"/>
      <c r="D23" s="49"/>
      <c r="E23" s="53"/>
      <c r="F23" s="49"/>
      <c r="G23" s="53"/>
    </row>
    <row r="24" spans="1:8" x14ac:dyDescent="0.25">
      <c r="A24" s="3" t="s">
        <v>136</v>
      </c>
      <c r="B24" s="51"/>
      <c r="C24" s="50">
        <v>3384</v>
      </c>
      <c r="D24" s="49"/>
      <c r="E24" s="63">
        <v>2564</v>
      </c>
      <c r="F24" s="49"/>
      <c r="G24" s="53">
        <v>2613.1999999999998</v>
      </c>
      <c r="H24" s="49">
        <f>G24-E24</f>
        <v>49.199999999999818</v>
      </c>
    </row>
    <row r="25" spans="1:8" x14ac:dyDescent="0.25">
      <c r="A25" s="3" t="s">
        <v>116</v>
      </c>
      <c r="B25" s="51"/>
      <c r="C25" s="50">
        <v>2944.72</v>
      </c>
      <c r="D25" s="49"/>
      <c r="E25" s="63">
        <v>2961.04</v>
      </c>
      <c r="F25" s="49"/>
      <c r="G25" s="53">
        <v>2210.5</v>
      </c>
      <c r="H25" s="49">
        <f t="shared" ref="H25:H39" si="2">G25-E25</f>
        <v>-750.54</v>
      </c>
    </row>
    <row r="26" spans="1:8" x14ac:dyDescent="0.25">
      <c r="A26" s="3" t="s">
        <v>137</v>
      </c>
      <c r="B26" s="51"/>
      <c r="C26" s="50">
        <v>11001.64</v>
      </c>
      <c r="D26" s="49"/>
      <c r="E26" s="63">
        <v>8050</v>
      </c>
      <c r="F26" s="49"/>
      <c r="G26" s="53">
        <v>8350.01</v>
      </c>
      <c r="H26" s="49">
        <f t="shared" si="2"/>
        <v>300.01000000000022</v>
      </c>
    </row>
    <row r="27" spans="1:8" x14ac:dyDescent="0.25">
      <c r="A27" s="3" t="s">
        <v>138</v>
      </c>
      <c r="B27" s="51"/>
      <c r="C27" s="50">
        <v>697.47</v>
      </c>
      <c r="D27" s="49"/>
      <c r="E27" s="63">
        <v>2069.4899999999998</v>
      </c>
      <c r="F27" s="49"/>
      <c r="G27" s="53">
        <v>862.71</v>
      </c>
      <c r="H27" s="49">
        <f t="shared" si="2"/>
        <v>-1206.7799999999997</v>
      </c>
    </row>
    <row r="28" spans="1:8" x14ac:dyDescent="0.25">
      <c r="A28" s="3" t="s">
        <v>94</v>
      </c>
      <c r="B28" s="51"/>
      <c r="C28" s="50">
        <v>537.4</v>
      </c>
      <c r="D28" s="49"/>
      <c r="E28" s="63">
        <v>1712.3</v>
      </c>
      <c r="F28" s="49"/>
      <c r="G28" s="53">
        <v>1627.45</v>
      </c>
      <c r="H28" s="49">
        <f t="shared" si="2"/>
        <v>-84.849999999999909</v>
      </c>
    </row>
    <row r="29" spans="1:8" x14ac:dyDescent="0.25">
      <c r="A29" s="3" t="s">
        <v>139</v>
      </c>
      <c r="B29" s="51"/>
      <c r="C29" s="50">
        <v>45.2</v>
      </c>
      <c r="D29" s="49"/>
      <c r="E29" s="63">
        <v>0</v>
      </c>
      <c r="F29" s="49"/>
      <c r="G29" s="53">
        <v>0</v>
      </c>
      <c r="H29" s="49">
        <f t="shared" si="2"/>
        <v>0</v>
      </c>
    </row>
    <row r="30" spans="1:8" x14ac:dyDescent="0.25">
      <c r="A30" s="3" t="s">
        <v>140</v>
      </c>
      <c r="B30" s="51"/>
      <c r="C30" s="50">
        <v>3281.54</v>
      </c>
      <c r="D30" s="49"/>
      <c r="E30" s="63">
        <v>156.88</v>
      </c>
      <c r="F30" s="49"/>
      <c r="G30" s="53">
        <v>2452.0700000000002</v>
      </c>
      <c r="H30" s="49">
        <f t="shared" si="2"/>
        <v>2295.19</v>
      </c>
    </row>
    <row r="31" spans="1:8" x14ac:dyDescent="0.25">
      <c r="A31" s="3" t="s">
        <v>141</v>
      </c>
      <c r="B31" s="51"/>
      <c r="C31" s="50">
        <v>618.26</v>
      </c>
      <c r="D31" s="49"/>
      <c r="E31" s="63">
        <v>760.33</v>
      </c>
      <c r="F31" s="49"/>
      <c r="G31" s="53">
        <v>318.12</v>
      </c>
      <c r="H31" s="49">
        <f t="shared" si="2"/>
        <v>-442.21000000000004</v>
      </c>
    </row>
    <row r="32" spans="1:8" x14ac:dyDescent="0.25">
      <c r="A32" s="3" t="s">
        <v>142</v>
      </c>
      <c r="B32" s="51"/>
      <c r="C32" s="50">
        <v>1157.0999999999999</v>
      </c>
      <c r="D32" s="49"/>
      <c r="E32" s="63">
        <v>1021.23</v>
      </c>
      <c r="F32" s="49"/>
      <c r="G32" s="53">
        <v>673.77</v>
      </c>
      <c r="H32" s="49">
        <f t="shared" si="2"/>
        <v>-347.46000000000004</v>
      </c>
    </row>
    <row r="33" spans="1:8" x14ac:dyDescent="0.25">
      <c r="A33" s="3" t="s">
        <v>143</v>
      </c>
      <c r="B33" s="51"/>
      <c r="C33" s="50">
        <v>200</v>
      </c>
      <c r="D33" s="49"/>
      <c r="E33" s="63">
        <v>0</v>
      </c>
      <c r="F33" s="49"/>
      <c r="G33" s="53">
        <v>458.4</v>
      </c>
      <c r="H33" s="49">
        <f t="shared" si="2"/>
        <v>458.4</v>
      </c>
    </row>
    <row r="34" spans="1:8" x14ac:dyDescent="0.25">
      <c r="A34" s="3" t="s">
        <v>170</v>
      </c>
      <c r="B34" s="51"/>
      <c r="C34" s="50"/>
      <c r="D34" s="49"/>
      <c r="E34" s="63"/>
      <c r="F34" s="49"/>
      <c r="G34" s="53">
        <v>9.99</v>
      </c>
      <c r="H34" s="49">
        <f t="shared" si="2"/>
        <v>9.99</v>
      </c>
    </row>
    <row r="35" spans="1:8" x14ac:dyDescent="0.25">
      <c r="A35" s="3" t="s">
        <v>132</v>
      </c>
      <c r="B35" s="51"/>
      <c r="C35" s="50">
        <v>70.959999999999994</v>
      </c>
      <c r="D35" s="49"/>
      <c r="E35" s="63">
        <v>1269.56</v>
      </c>
      <c r="F35" s="49"/>
      <c r="G35" s="53">
        <v>422.43</v>
      </c>
      <c r="H35" s="49">
        <f t="shared" si="2"/>
        <v>-847.12999999999988</v>
      </c>
    </row>
    <row r="36" spans="1:8" x14ac:dyDescent="0.25">
      <c r="A36" s="3" t="s">
        <v>144</v>
      </c>
      <c r="B36" s="51"/>
      <c r="C36" s="50">
        <v>149.68</v>
      </c>
      <c r="D36" s="49"/>
      <c r="E36" s="63">
        <v>0</v>
      </c>
      <c r="F36" s="49"/>
      <c r="G36" s="53">
        <v>142.97999999999999</v>
      </c>
      <c r="H36" s="49">
        <f t="shared" si="2"/>
        <v>142.97999999999999</v>
      </c>
    </row>
    <row r="37" spans="1:8" x14ac:dyDescent="0.25">
      <c r="A37" s="3" t="s">
        <v>145</v>
      </c>
      <c r="B37" s="51"/>
      <c r="C37" s="50">
        <v>0</v>
      </c>
      <c r="D37" s="49"/>
      <c r="E37" s="63">
        <v>9.2799999999999994</v>
      </c>
      <c r="F37" s="49"/>
      <c r="G37" s="53">
        <v>0</v>
      </c>
      <c r="H37" s="49">
        <f t="shared" si="2"/>
        <v>-9.2799999999999994</v>
      </c>
    </row>
    <row r="38" spans="1:8" x14ac:dyDescent="0.25">
      <c r="A38" s="3" t="s">
        <v>146</v>
      </c>
      <c r="B38" s="51"/>
      <c r="C38" s="56">
        <v>1727.6</v>
      </c>
      <c r="D38" s="49"/>
      <c r="E38" s="64">
        <v>2102.29</v>
      </c>
      <c r="F38" s="49"/>
      <c r="G38" s="59">
        <v>1188.8499999999999</v>
      </c>
      <c r="H38" s="49">
        <f t="shared" si="2"/>
        <v>-913.44</v>
      </c>
    </row>
    <row r="39" spans="1:8" x14ac:dyDescent="0.25">
      <c r="A39" s="1" t="s">
        <v>70</v>
      </c>
      <c r="B39" s="51"/>
      <c r="C39" s="57">
        <f>SUBTOTAL(9,C22:C38)</f>
        <v>25815.57</v>
      </c>
      <c r="D39" s="49"/>
      <c r="E39" s="65">
        <f>SUM(E24:E38)</f>
        <v>22676.400000000005</v>
      </c>
      <c r="F39" s="49"/>
      <c r="G39" s="60">
        <f>SUM(G24:G38)</f>
        <v>21330.48</v>
      </c>
      <c r="H39" s="49">
        <f t="shared" si="2"/>
        <v>-1345.9200000000055</v>
      </c>
    </row>
    <row r="40" spans="1:8" x14ac:dyDescent="0.25">
      <c r="A40" s="1"/>
      <c r="B40" s="51"/>
      <c r="C40" s="57"/>
      <c r="D40" s="49"/>
      <c r="E40" s="65"/>
      <c r="F40" s="49"/>
      <c r="G40" s="53"/>
    </row>
    <row r="41" spans="1:8" x14ac:dyDescent="0.25">
      <c r="A41" s="37" t="s">
        <v>271</v>
      </c>
      <c r="B41" s="38"/>
      <c r="C41" s="39">
        <f>C13-C39</f>
        <v>2324.8200000000033</v>
      </c>
      <c r="D41" s="38"/>
      <c r="E41" s="39">
        <f>E13-E39</f>
        <v>2701.0699999999961</v>
      </c>
      <c r="F41" s="72"/>
      <c r="G41" s="70">
        <f>G13-G39</f>
        <v>2748.9700000000012</v>
      </c>
      <c r="H41" s="49">
        <f>G41-E41</f>
        <v>47.900000000005093</v>
      </c>
    </row>
    <row r="42" spans="1:8" x14ac:dyDescent="0.25">
      <c r="B42" s="49"/>
      <c r="C42" s="53"/>
      <c r="D42" s="49"/>
      <c r="E42" s="53"/>
      <c r="F42" s="49"/>
      <c r="G42" s="53"/>
    </row>
    <row r="43" spans="1:8" x14ac:dyDescent="0.25">
      <c r="A43" s="1" t="s">
        <v>341</v>
      </c>
      <c r="B43" s="49"/>
      <c r="C43" s="53"/>
      <c r="D43" s="49"/>
      <c r="E43" s="53"/>
      <c r="F43" s="49"/>
      <c r="G43" s="53"/>
    </row>
    <row r="44" spans="1:8" x14ac:dyDescent="0.25">
      <c r="A44" s="3" t="s">
        <v>136</v>
      </c>
      <c r="B44" s="51"/>
      <c r="C44" s="50">
        <v>0</v>
      </c>
      <c r="D44" s="51"/>
      <c r="E44" s="53">
        <v>1934</v>
      </c>
      <c r="F44" s="49"/>
      <c r="G44" s="53">
        <v>0</v>
      </c>
      <c r="H44" s="49">
        <f>G44-E44</f>
        <v>-1934</v>
      </c>
    </row>
    <row r="45" spans="1:8" x14ac:dyDescent="0.25">
      <c r="A45" s="3" t="s">
        <v>116</v>
      </c>
      <c r="B45" s="51"/>
      <c r="C45" s="50">
        <v>0</v>
      </c>
      <c r="D45" s="51"/>
      <c r="E45" s="53">
        <v>2177.5</v>
      </c>
      <c r="F45" s="49"/>
      <c r="G45" s="53">
        <v>0</v>
      </c>
      <c r="H45" s="49">
        <f t="shared" ref="H45:H58" si="3">G45-E45</f>
        <v>-2177.5</v>
      </c>
    </row>
    <row r="46" spans="1:8" x14ac:dyDescent="0.25">
      <c r="A46" s="3" t="s">
        <v>137</v>
      </c>
      <c r="B46" s="51"/>
      <c r="C46" s="50">
        <v>0</v>
      </c>
      <c r="D46" s="51"/>
      <c r="E46" s="53">
        <v>2882.29</v>
      </c>
      <c r="F46" s="49"/>
      <c r="G46" s="53">
        <v>0</v>
      </c>
      <c r="H46" s="49">
        <f t="shared" si="3"/>
        <v>-2882.29</v>
      </c>
    </row>
    <row r="47" spans="1:8" x14ac:dyDescent="0.25">
      <c r="A47" s="3" t="s">
        <v>138</v>
      </c>
      <c r="B47" s="51"/>
      <c r="C47" s="50">
        <v>0</v>
      </c>
      <c r="D47" s="51"/>
      <c r="E47" s="53">
        <v>53.71</v>
      </c>
      <c r="F47" s="49"/>
      <c r="G47" s="53">
        <v>0</v>
      </c>
      <c r="H47" s="49">
        <f t="shared" si="3"/>
        <v>-53.71</v>
      </c>
    </row>
    <row r="48" spans="1:8" x14ac:dyDescent="0.25">
      <c r="A48" s="3" t="s">
        <v>94</v>
      </c>
      <c r="B48" s="51"/>
      <c r="C48" s="50">
        <v>0</v>
      </c>
      <c r="D48" s="51"/>
      <c r="E48" s="53">
        <v>255.31</v>
      </c>
      <c r="F48" s="49"/>
      <c r="G48" s="53">
        <v>0</v>
      </c>
      <c r="H48" s="49">
        <f t="shared" si="3"/>
        <v>-255.31</v>
      </c>
    </row>
    <row r="49" spans="1:8" x14ac:dyDescent="0.25">
      <c r="A49" s="3" t="s">
        <v>139</v>
      </c>
      <c r="B49" s="51"/>
      <c r="C49" s="50">
        <v>0</v>
      </c>
      <c r="D49" s="51"/>
      <c r="E49" s="53">
        <v>0</v>
      </c>
      <c r="F49" s="49"/>
      <c r="G49" s="53">
        <v>0</v>
      </c>
      <c r="H49" s="49">
        <f t="shared" si="3"/>
        <v>0</v>
      </c>
    </row>
    <row r="50" spans="1:8" x14ac:dyDescent="0.25">
      <c r="A50" s="3" t="s">
        <v>140</v>
      </c>
      <c r="B50" s="51"/>
      <c r="C50" s="50">
        <v>0</v>
      </c>
      <c r="D50" s="51"/>
      <c r="E50" s="53">
        <v>1200.21</v>
      </c>
      <c r="F50" s="49"/>
      <c r="G50" s="53">
        <v>0</v>
      </c>
      <c r="H50" s="49">
        <f t="shared" si="3"/>
        <v>-1200.21</v>
      </c>
    </row>
    <row r="51" spans="1:8" x14ac:dyDescent="0.25">
      <c r="A51" s="3" t="s">
        <v>141</v>
      </c>
      <c r="B51" s="51"/>
      <c r="C51" s="50">
        <v>0</v>
      </c>
      <c r="D51" s="51"/>
      <c r="E51" s="53">
        <v>0</v>
      </c>
      <c r="F51" s="49"/>
      <c r="G51" s="53">
        <v>0</v>
      </c>
      <c r="H51" s="49">
        <f t="shared" si="3"/>
        <v>0</v>
      </c>
    </row>
    <row r="52" spans="1:8" x14ac:dyDescent="0.25">
      <c r="A52" s="3" t="s">
        <v>142</v>
      </c>
      <c r="B52" s="51"/>
      <c r="C52" s="50">
        <v>0</v>
      </c>
      <c r="D52" s="51"/>
      <c r="E52" s="53">
        <v>108.72</v>
      </c>
      <c r="F52" s="49"/>
      <c r="G52" s="53">
        <v>0</v>
      </c>
      <c r="H52" s="49">
        <f t="shared" si="3"/>
        <v>-108.72</v>
      </c>
    </row>
    <row r="53" spans="1:8" x14ac:dyDescent="0.25">
      <c r="A53" s="3" t="s">
        <v>143</v>
      </c>
      <c r="B53" s="51"/>
      <c r="C53" s="50">
        <v>0</v>
      </c>
      <c r="D53" s="51"/>
      <c r="E53" s="53">
        <v>0</v>
      </c>
      <c r="F53" s="49"/>
      <c r="G53" s="53">
        <v>0</v>
      </c>
      <c r="H53" s="49">
        <f t="shared" si="3"/>
        <v>0</v>
      </c>
    </row>
    <row r="54" spans="1:8" x14ac:dyDescent="0.25">
      <c r="A54" s="3" t="s">
        <v>132</v>
      </c>
      <c r="B54" s="51"/>
      <c r="C54" s="50">
        <v>0</v>
      </c>
      <c r="D54" s="51"/>
      <c r="E54" s="53">
        <v>416.89</v>
      </c>
      <c r="F54" s="49"/>
      <c r="G54" s="53">
        <v>0</v>
      </c>
      <c r="H54" s="49">
        <f t="shared" si="3"/>
        <v>-416.89</v>
      </c>
    </row>
    <row r="55" spans="1:8" x14ac:dyDescent="0.25">
      <c r="A55" s="3" t="s">
        <v>144</v>
      </c>
      <c r="B55" s="51"/>
      <c r="C55" s="50">
        <v>0</v>
      </c>
      <c r="D55" s="51"/>
      <c r="E55" s="53">
        <v>0</v>
      </c>
      <c r="F55" s="49"/>
      <c r="G55" s="53">
        <v>0</v>
      </c>
      <c r="H55" s="49">
        <f t="shared" si="3"/>
        <v>0</v>
      </c>
    </row>
    <row r="56" spans="1:8" x14ac:dyDescent="0.25">
      <c r="A56" s="3" t="s">
        <v>145</v>
      </c>
      <c r="B56" s="51"/>
      <c r="C56" s="50">
        <v>0</v>
      </c>
      <c r="D56" s="51"/>
      <c r="E56" s="53">
        <v>0</v>
      </c>
      <c r="F56" s="49"/>
      <c r="G56" s="53">
        <v>0</v>
      </c>
      <c r="H56" s="49">
        <f t="shared" si="3"/>
        <v>0</v>
      </c>
    </row>
    <row r="57" spans="1:8" x14ac:dyDescent="0.25">
      <c r="A57" s="3" t="s">
        <v>146</v>
      </c>
      <c r="B57" s="51"/>
      <c r="C57" s="56">
        <v>0</v>
      </c>
      <c r="D57" s="51"/>
      <c r="E57" s="59">
        <v>860</v>
      </c>
      <c r="F57" s="49"/>
      <c r="G57" s="59">
        <v>0</v>
      </c>
      <c r="H57" s="49">
        <f t="shared" si="3"/>
        <v>-860</v>
      </c>
    </row>
    <row r="58" spans="1:8" x14ac:dyDescent="0.25">
      <c r="A58" s="1" t="s">
        <v>70</v>
      </c>
      <c r="B58" s="51"/>
      <c r="C58" s="57">
        <f>SUBTOTAL(9,C44:C57)</f>
        <v>0</v>
      </c>
      <c r="D58" s="51"/>
      <c r="E58" s="57">
        <f>SUBTOTAL(9,E44:E57)</f>
        <v>9888.6299999999992</v>
      </c>
      <c r="F58" s="49"/>
      <c r="G58" s="60">
        <f>SUM(G44:G57)</f>
        <v>0</v>
      </c>
      <c r="H58" s="49">
        <f t="shared" si="3"/>
        <v>-9888.6299999999992</v>
      </c>
    </row>
    <row r="60" spans="1:8" x14ac:dyDescent="0.25">
      <c r="A60" s="37" t="s">
        <v>272</v>
      </c>
      <c r="B60" s="38"/>
      <c r="C60" s="39">
        <f>C19-C58</f>
        <v>0</v>
      </c>
      <c r="D60" s="38"/>
      <c r="E60" s="39">
        <f>E19-E58</f>
        <v>4021.84</v>
      </c>
      <c r="F60" s="72"/>
      <c r="G60" s="70">
        <f>G19-G58</f>
        <v>0</v>
      </c>
      <c r="H60" s="49">
        <f>G60-E60</f>
        <v>-4021.84</v>
      </c>
    </row>
    <row r="62" spans="1:8" s="73" customFormat="1" ht="15.75" x14ac:dyDescent="0.25">
      <c r="A62" s="73" t="s">
        <v>273</v>
      </c>
      <c r="C62" s="74">
        <f>C21-C38</f>
        <v>-1727.6</v>
      </c>
      <c r="E62" s="74">
        <f>E12-E38</f>
        <v>-676.26</v>
      </c>
      <c r="F62" s="41"/>
      <c r="G62" s="48">
        <f>G41+G60</f>
        <v>2748.9700000000012</v>
      </c>
      <c r="H62" s="74">
        <f>G62-E62</f>
        <v>3425.2300000000014</v>
      </c>
    </row>
  </sheetData>
  <pageMargins left="0.7" right="0.7" top="0.75" bottom="0.75" header="0.3" footer="0.3"/>
  <pageSetup orientation="portrait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F337D-C204-4DD9-932E-B9FA17212451}">
  <dimension ref="A1:G30"/>
  <sheetViews>
    <sheetView topLeftCell="A12" workbookViewId="0">
      <selection activeCell="G30" sqref="G30"/>
    </sheetView>
  </sheetViews>
  <sheetFormatPr baseColWidth="10" defaultRowHeight="15" x14ac:dyDescent="0.25"/>
  <cols>
    <col min="1" max="1" width="26.42578125" customWidth="1"/>
    <col min="2" max="2" width="20.5703125" customWidth="1"/>
    <col min="3" max="3" width="23.42578125" customWidth="1"/>
    <col min="4" max="4" width="21.28515625" customWidth="1"/>
    <col min="5" max="5" width="19.28515625" customWidth="1"/>
    <col min="6" max="6" width="24.28515625" customWidth="1"/>
    <col min="7" max="7" width="16.7109375" customWidth="1"/>
  </cols>
  <sheetData>
    <row r="1" spans="1:7" ht="15.75" x14ac:dyDescent="0.25">
      <c r="A1" s="26" t="s">
        <v>0</v>
      </c>
    </row>
    <row r="2" spans="1:7" ht="15.75" x14ac:dyDescent="0.25">
      <c r="A2" s="26" t="s">
        <v>274</v>
      </c>
    </row>
    <row r="3" spans="1:7" ht="15.75" x14ac:dyDescent="0.25">
      <c r="A3" s="26" t="s">
        <v>331</v>
      </c>
    </row>
    <row r="5" spans="1:7" x14ac:dyDescent="0.25">
      <c r="A5" s="3" t="s">
        <v>3</v>
      </c>
      <c r="B5" s="4" t="s">
        <v>4</v>
      </c>
      <c r="C5" s="7"/>
      <c r="D5" s="4" t="s">
        <v>259</v>
      </c>
      <c r="E5" s="62"/>
      <c r="F5" s="55" t="s">
        <v>296</v>
      </c>
    </row>
    <row r="6" spans="1:7" x14ac:dyDescent="0.25">
      <c r="A6" s="1" t="s">
        <v>305</v>
      </c>
      <c r="B6" s="49"/>
      <c r="C6" s="53"/>
      <c r="D6" s="49"/>
      <c r="E6" s="63"/>
      <c r="F6" s="49"/>
      <c r="G6" s="53"/>
    </row>
    <row r="7" spans="1:7" x14ac:dyDescent="0.25">
      <c r="A7" s="3" t="s">
        <v>59</v>
      </c>
      <c r="B7" s="51"/>
      <c r="C7" s="50"/>
      <c r="D7" s="49"/>
      <c r="E7" s="63"/>
      <c r="F7" s="49"/>
      <c r="G7" s="53">
        <v>41100.269999999997</v>
      </c>
    </row>
    <row r="8" spans="1:7" x14ac:dyDescent="0.25">
      <c r="A8" s="3" t="s">
        <v>306</v>
      </c>
      <c r="B8" s="51"/>
      <c r="C8" s="50"/>
      <c r="D8" s="49"/>
      <c r="E8" s="63"/>
      <c r="F8" s="49"/>
      <c r="G8" s="53">
        <v>7050.91</v>
      </c>
    </row>
    <row r="9" spans="1:7" x14ac:dyDescent="0.25">
      <c r="A9" s="3" t="s">
        <v>61</v>
      </c>
      <c r="B9" s="51"/>
      <c r="C9" s="50"/>
      <c r="D9" s="49"/>
      <c r="E9" s="63"/>
      <c r="F9" s="49"/>
      <c r="G9" s="53">
        <v>3277.91</v>
      </c>
    </row>
    <row r="10" spans="1:7" x14ac:dyDescent="0.25">
      <c r="A10" s="3" t="s">
        <v>65</v>
      </c>
      <c r="B10" s="51"/>
      <c r="C10" s="50"/>
      <c r="D10" s="49"/>
      <c r="E10" s="63"/>
      <c r="F10" s="49"/>
      <c r="G10" s="53">
        <v>4708.42</v>
      </c>
    </row>
    <row r="11" spans="1:7" x14ac:dyDescent="0.25">
      <c r="A11" s="3" t="s">
        <v>307</v>
      </c>
      <c r="B11" s="51"/>
      <c r="C11" s="50"/>
      <c r="D11" s="49"/>
      <c r="E11" s="63"/>
      <c r="F11" s="49"/>
      <c r="G11" s="53">
        <v>5264</v>
      </c>
    </row>
    <row r="12" spans="1:7" x14ac:dyDescent="0.25">
      <c r="A12" s="3" t="s">
        <v>308</v>
      </c>
      <c r="B12" s="51"/>
      <c r="C12" s="50"/>
      <c r="D12" s="49"/>
      <c r="E12" s="63"/>
      <c r="F12" s="49"/>
      <c r="G12" s="59">
        <v>192</v>
      </c>
    </row>
    <row r="13" spans="1:7" ht="15.75" thickBot="1" x14ac:dyDescent="0.3">
      <c r="A13" s="1" t="s">
        <v>342</v>
      </c>
      <c r="B13" s="51"/>
      <c r="C13" s="50"/>
      <c r="D13" s="49"/>
      <c r="E13" s="63"/>
      <c r="F13" s="49"/>
      <c r="G13" s="86">
        <f>SUM(G7:G12)</f>
        <v>61593.509999999995</v>
      </c>
    </row>
    <row r="15" spans="1:7" x14ac:dyDescent="0.25">
      <c r="A15" s="1" t="s">
        <v>318</v>
      </c>
      <c r="B15" s="49"/>
      <c r="C15" s="53"/>
      <c r="D15" s="49"/>
      <c r="E15" s="63"/>
      <c r="F15" s="49"/>
      <c r="G15" s="53"/>
    </row>
    <row r="16" spans="1:7" x14ac:dyDescent="0.25">
      <c r="A16" s="3" t="s">
        <v>136</v>
      </c>
      <c r="B16" s="51"/>
      <c r="C16" s="50"/>
      <c r="D16" s="49"/>
      <c r="E16" s="63"/>
      <c r="F16" s="49"/>
      <c r="G16" s="53">
        <v>4268</v>
      </c>
    </row>
    <row r="17" spans="1:7" x14ac:dyDescent="0.25">
      <c r="A17" s="3" t="s">
        <v>116</v>
      </c>
      <c r="B17" s="51"/>
      <c r="C17" s="50"/>
      <c r="D17" s="49"/>
      <c r="E17" s="63"/>
      <c r="F17" s="49"/>
      <c r="G17" s="53">
        <v>5382.98</v>
      </c>
    </row>
    <row r="18" spans="1:7" x14ac:dyDescent="0.25">
      <c r="A18" s="3" t="s">
        <v>137</v>
      </c>
      <c r="B18" s="51"/>
      <c r="C18" s="50"/>
      <c r="D18" s="49"/>
      <c r="E18" s="63"/>
      <c r="F18" s="49"/>
      <c r="G18" s="53">
        <v>7153.44</v>
      </c>
    </row>
    <row r="19" spans="1:7" x14ac:dyDescent="0.25">
      <c r="A19" s="3" t="s">
        <v>138</v>
      </c>
      <c r="B19" s="51"/>
      <c r="C19" s="50"/>
      <c r="D19" s="49"/>
      <c r="E19" s="63"/>
      <c r="F19" s="49"/>
      <c r="G19" s="53">
        <v>623.15</v>
      </c>
    </row>
    <row r="20" spans="1:7" x14ac:dyDescent="0.25">
      <c r="A20" s="3" t="s">
        <v>94</v>
      </c>
      <c r="B20" s="51"/>
      <c r="C20" s="50"/>
      <c r="D20" s="49"/>
      <c r="E20" s="63"/>
      <c r="F20" s="49"/>
      <c r="G20" s="53">
        <v>397.9</v>
      </c>
    </row>
    <row r="21" spans="1:7" x14ac:dyDescent="0.25">
      <c r="A21" s="3" t="s">
        <v>140</v>
      </c>
      <c r="B21" s="51"/>
      <c r="C21" s="50"/>
      <c r="D21" s="49"/>
      <c r="E21" s="63"/>
      <c r="F21" s="49"/>
      <c r="G21" s="53">
        <v>4798.26</v>
      </c>
    </row>
    <row r="22" spans="1:7" x14ac:dyDescent="0.25">
      <c r="A22" s="3" t="s">
        <v>141</v>
      </c>
      <c r="B22" s="51"/>
      <c r="C22" s="50"/>
      <c r="D22" s="49"/>
      <c r="E22" s="63"/>
      <c r="F22" s="49"/>
      <c r="G22" s="53">
        <v>163.98</v>
      </c>
    </row>
    <row r="23" spans="1:7" x14ac:dyDescent="0.25">
      <c r="A23" s="3" t="s">
        <v>142</v>
      </c>
      <c r="B23" s="51"/>
      <c r="C23" s="50"/>
      <c r="D23" s="49"/>
      <c r="E23" s="63"/>
      <c r="F23" s="49"/>
      <c r="G23" s="53">
        <v>939.94</v>
      </c>
    </row>
    <row r="24" spans="1:7" x14ac:dyDescent="0.25">
      <c r="A24" s="3" t="s">
        <v>143</v>
      </c>
      <c r="B24" s="51"/>
      <c r="C24" s="50"/>
      <c r="D24" s="49"/>
      <c r="E24" s="63"/>
      <c r="F24" s="49"/>
      <c r="G24" s="53">
        <v>1249.6300000000001</v>
      </c>
    </row>
    <row r="25" spans="1:7" x14ac:dyDescent="0.25">
      <c r="A25" s="3" t="s">
        <v>319</v>
      </c>
      <c r="B25" s="51"/>
      <c r="C25" s="50"/>
      <c r="D25" s="49"/>
      <c r="E25" s="63"/>
      <c r="F25" s="49"/>
      <c r="G25" s="53">
        <v>10984.44</v>
      </c>
    </row>
    <row r="26" spans="1:7" x14ac:dyDescent="0.25">
      <c r="A26" s="3" t="s">
        <v>146</v>
      </c>
      <c r="B26" s="51"/>
      <c r="C26" s="50"/>
      <c r="D26" s="49"/>
      <c r="E26" s="63"/>
      <c r="F26" s="49"/>
      <c r="G26" s="53">
        <v>1925</v>
      </c>
    </row>
    <row r="27" spans="1:7" x14ac:dyDescent="0.25">
      <c r="A27" s="2" t="s">
        <v>134</v>
      </c>
      <c r="B27" s="51"/>
      <c r="C27" s="50"/>
      <c r="D27" s="49"/>
      <c r="E27" s="63"/>
      <c r="F27" s="49"/>
      <c r="G27" s="53">
        <v>8426.66</v>
      </c>
    </row>
    <row r="28" spans="1:7" ht="15.75" thickBot="1" x14ac:dyDescent="0.3">
      <c r="A28" s="1" t="s">
        <v>342</v>
      </c>
      <c r="B28" s="51"/>
      <c r="C28" s="50"/>
      <c r="D28" s="49"/>
      <c r="E28" s="63"/>
      <c r="F28" s="49"/>
      <c r="G28" s="86">
        <f>SUM(G16:G27)</f>
        <v>46313.380000000005</v>
      </c>
    </row>
    <row r="30" spans="1:7" ht="15.75" x14ac:dyDescent="0.25">
      <c r="A30" s="73" t="s">
        <v>273</v>
      </c>
      <c r="B30" s="73"/>
      <c r="C30" s="74"/>
      <c r="D30" s="73"/>
      <c r="E30" s="74"/>
      <c r="F30" s="41"/>
      <c r="G30" s="48">
        <f>G13-G28</f>
        <v>15280.12999999999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69321-FC25-4F3A-8C0C-3E543645DFB4}">
  <dimension ref="A1:G19"/>
  <sheetViews>
    <sheetView topLeftCell="A3" workbookViewId="0">
      <selection activeCell="F16" sqref="F16"/>
    </sheetView>
  </sheetViews>
  <sheetFormatPr baseColWidth="10" defaultRowHeight="15" x14ac:dyDescent="0.25"/>
  <cols>
    <col min="1" max="1" width="26.85546875" customWidth="1"/>
    <col min="2" max="2" width="20" customWidth="1"/>
    <col min="3" max="3" width="15.28515625" customWidth="1"/>
    <col min="4" max="4" width="18.7109375" customWidth="1"/>
    <col min="5" max="5" width="18.85546875" customWidth="1"/>
    <col min="6" max="6" width="24.7109375" customWidth="1"/>
    <col min="7" max="7" width="18.85546875" customWidth="1"/>
  </cols>
  <sheetData>
    <row r="1" spans="1:7" ht="15.75" x14ac:dyDescent="0.25">
      <c r="A1" s="26" t="s">
        <v>0</v>
      </c>
    </row>
    <row r="2" spans="1:7" ht="15.75" x14ac:dyDescent="0.25">
      <c r="A2" s="26" t="s">
        <v>274</v>
      </c>
    </row>
    <row r="3" spans="1:7" ht="15.75" x14ac:dyDescent="0.25">
      <c r="A3" s="26" t="s">
        <v>331</v>
      </c>
    </row>
    <row r="5" spans="1:7" x14ac:dyDescent="0.25">
      <c r="A5" s="3" t="s">
        <v>3</v>
      </c>
      <c r="B5" s="4" t="s">
        <v>4</v>
      </c>
      <c r="C5" s="7"/>
      <c r="D5" s="4" t="s">
        <v>259</v>
      </c>
      <c r="E5" s="62"/>
      <c r="F5" s="55" t="s">
        <v>296</v>
      </c>
    </row>
    <row r="6" spans="1:7" x14ac:dyDescent="0.25">
      <c r="A6" s="1" t="s">
        <v>343</v>
      </c>
      <c r="B6" s="49"/>
      <c r="C6" s="53"/>
      <c r="D6" s="49"/>
      <c r="E6" s="63"/>
      <c r="F6" s="49"/>
      <c r="G6" s="53"/>
    </row>
    <row r="7" spans="1:7" x14ac:dyDescent="0.25">
      <c r="A7" s="3" t="s">
        <v>297</v>
      </c>
      <c r="B7" s="52"/>
      <c r="C7" s="53"/>
      <c r="D7" s="49"/>
      <c r="E7" s="63"/>
      <c r="F7" s="49">
        <v>4498.79</v>
      </c>
      <c r="G7" s="53"/>
    </row>
    <row r="8" spans="1:7" x14ac:dyDescent="0.25">
      <c r="A8" s="3" t="s">
        <v>298</v>
      </c>
      <c r="B8" s="52"/>
      <c r="C8" s="53"/>
      <c r="D8" s="49"/>
      <c r="E8" s="63"/>
      <c r="F8" s="49">
        <v>2529.69</v>
      </c>
      <c r="G8" s="53"/>
    </row>
    <row r="9" spans="1:7" x14ac:dyDescent="0.25">
      <c r="A9" s="3" t="s">
        <v>299</v>
      </c>
      <c r="B9" s="52"/>
      <c r="C9" s="53"/>
      <c r="D9" s="49"/>
      <c r="E9" s="63"/>
      <c r="F9" s="55">
        <v>58</v>
      </c>
      <c r="G9" s="53"/>
    </row>
    <row r="10" spans="1:7" x14ac:dyDescent="0.25">
      <c r="A10" s="1" t="s">
        <v>344</v>
      </c>
      <c r="B10" s="51"/>
      <c r="C10" s="50"/>
      <c r="D10" s="49"/>
      <c r="E10" s="63"/>
      <c r="F10" s="49"/>
      <c r="G10" s="59">
        <f>SUM(F7:F9)</f>
        <v>7086.48</v>
      </c>
    </row>
    <row r="12" spans="1:7" x14ac:dyDescent="0.25">
      <c r="A12" s="1" t="s">
        <v>345</v>
      </c>
      <c r="B12" s="49"/>
      <c r="C12" s="53"/>
      <c r="D12" s="49"/>
      <c r="E12" s="63"/>
      <c r="F12" s="49"/>
      <c r="G12" s="53"/>
    </row>
    <row r="13" spans="1:7" x14ac:dyDescent="0.25">
      <c r="A13" s="3" t="s">
        <v>309</v>
      </c>
      <c r="B13" s="52"/>
      <c r="C13" s="53"/>
      <c r="D13" s="49"/>
      <c r="E13" s="63"/>
      <c r="F13" s="49">
        <v>500</v>
      </c>
      <c r="G13" s="53"/>
    </row>
    <row r="14" spans="1:7" x14ac:dyDescent="0.25">
      <c r="A14" s="3" t="s">
        <v>310</v>
      </c>
      <c r="B14" s="52"/>
      <c r="C14" s="53"/>
      <c r="D14" s="49"/>
      <c r="E14" s="63"/>
      <c r="F14" s="49">
        <v>1206.8399999999999</v>
      </c>
      <c r="G14" s="53"/>
    </row>
    <row r="15" spans="1:7" x14ac:dyDescent="0.25">
      <c r="A15" s="3" t="s">
        <v>311</v>
      </c>
      <c r="B15" s="52"/>
      <c r="C15" s="53"/>
      <c r="D15" s="49"/>
      <c r="E15" s="63"/>
      <c r="F15" s="49">
        <v>750</v>
      </c>
      <c r="G15" s="53"/>
    </row>
    <row r="16" spans="1:7" ht="15.75" thickBot="1" x14ac:dyDescent="0.3">
      <c r="A16" s="3" t="s">
        <v>312</v>
      </c>
      <c r="B16" s="52"/>
      <c r="C16" s="53"/>
      <c r="D16" s="49"/>
      <c r="E16" s="63"/>
      <c r="F16" s="81">
        <v>3932.46</v>
      </c>
      <c r="G16" s="53"/>
    </row>
    <row r="17" spans="1:7" x14ac:dyDescent="0.25">
      <c r="A17" s="1" t="s">
        <v>346</v>
      </c>
      <c r="B17" s="51"/>
      <c r="C17" s="50"/>
      <c r="D17" s="49"/>
      <c r="E17" s="63"/>
      <c r="F17" s="49"/>
      <c r="G17" s="53">
        <f>SUM(F11:F16)</f>
        <v>6389.3</v>
      </c>
    </row>
    <row r="19" spans="1:7" ht="15.75" x14ac:dyDescent="0.25">
      <c r="A19" s="73" t="s">
        <v>273</v>
      </c>
      <c r="B19" s="73"/>
      <c r="C19" s="74"/>
      <c r="D19" s="73"/>
      <c r="E19" s="74"/>
      <c r="F19" s="41"/>
      <c r="G19" s="48">
        <f>G10-G17</f>
        <v>697.17999999999938</v>
      </c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A76"/>
  <sheetViews>
    <sheetView tabSelected="1" topLeftCell="H19" workbookViewId="0">
      <selection activeCell="M35" sqref="M35"/>
    </sheetView>
  </sheetViews>
  <sheetFormatPr baseColWidth="10" defaultRowHeight="15" x14ac:dyDescent="0.25"/>
  <cols>
    <col min="1" max="1" width="24.42578125" customWidth="1"/>
    <col min="2" max="2" width="17.42578125" customWidth="1"/>
    <col min="3" max="3" width="15.42578125" customWidth="1"/>
    <col min="4" max="17" width="14" customWidth="1"/>
    <col min="18" max="18" width="14.140625" customWidth="1"/>
    <col min="19" max="20" width="14.7109375" customWidth="1"/>
    <col min="21" max="21" width="15.28515625" customWidth="1"/>
    <col min="22" max="22" width="14.28515625" customWidth="1"/>
    <col min="23" max="23" width="15.5703125" customWidth="1"/>
    <col min="24" max="24" width="15.85546875" customWidth="1"/>
    <col min="25" max="25" width="15" customWidth="1"/>
    <col min="26" max="26" width="16.28515625" customWidth="1"/>
    <col min="27" max="27" width="15.85546875" customWidth="1"/>
  </cols>
  <sheetData>
    <row r="1" spans="1:3" ht="15.75" x14ac:dyDescent="0.25">
      <c r="A1" s="41" t="s">
        <v>231</v>
      </c>
    </row>
    <row r="2" spans="1:3" ht="15.75" x14ac:dyDescent="0.25">
      <c r="A2" s="41"/>
    </row>
    <row r="3" spans="1:3" ht="15.75" x14ac:dyDescent="0.25">
      <c r="A3" s="41" t="s">
        <v>232</v>
      </c>
    </row>
    <row r="5" spans="1:3" ht="15.75" x14ac:dyDescent="0.25">
      <c r="A5" s="41" t="s">
        <v>233</v>
      </c>
      <c r="B5" s="42">
        <v>0.2</v>
      </c>
    </row>
    <row r="6" spans="1:3" ht="15.75" x14ac:dyDescent="0.25">
      <c r="A6" s="41" t="s">
        <v>234</v>
      </c>
      <c r="B6" s="42">
        <v>0.5</v>
      </c>
      <c r="C6" s="43" t="s">
        <v>235</v>
      </c>
    </row>
    <row r="7" spans="1:3" ht="15.75" x14ac:dyDescent="0.25">
      <c r="C7" s="41"/>
    </row>
    <row r="8" spans="1:3" ht="15.75" x14ac:dyDescent="0.25">
      <c r="C8" s="41" t="s">
        <v>236</v>
      </c>
    </row>
    <row r="9" spans="1:3" ht="15.75" x14ac:dyDescent="0.25">
      <c r="C9" s="41"/>
    </row>
    <row r="10" spans="1:3" ht="15.75" x14ac:dyDescent="0.25">
      <c r="A10" s="41">
        <v>2003</v>
      </c>
      <c r="B10" s="41">
        <v>2004</v>
      </c>
      <c r="C10" s="46">
        <v>0</v>
      </c>
    </row>
    <row r="11" spans="1:3" ht="15.75" x14ac:dyDescent="0.25">
      <c r="A11" s="41">
        <v>2004</v>
      </c>
      <c r="B11" s="41">
        <v>2005</v>
      </c>
      <c r="C11" s="46">
        <v>499.14</v>
      </c>
    </row>
    <row r="12" spans="1:3" ht="15.75" x14ac:dyDescent="0.25">
      <c r="A12" s="41">
        <v>2005</v>
      </c>
      <c r="B12" s="41">
        <v>2006</v>
      </c>
      <c r="C12" s="46">
        <v>7283.43</v>
      </c>
    </row>
    <row r="13" spans="1:3" ht="15.75" x14ac:dyDescent="0.25">
      <c r="A13" s="41">
        <v>2006</v>
      </c>
      <c r="B13" s="41">
        <v>2007</v>
      </c>
      <c r="C13" s="46">
        <v>22112.85</v>
      </c>
    </row>
    <row r="14" spans="1:3" ht="15.75" x14ac:dyDescent="0.25">
      <c r="A14" s="41">
        <v>2007</v>
      </c>
      <c r="B14" s="41">
        <v>2008</v>
      </c>
      <c r="C14" s="46">
        <v>3171.79</v>
      </c>
    </row>
    <row r="15" spans="1:3" ht="15.75" x14ac:dyDescent="0.25">
      <c r="A15" s="41">
        <v>2008</v>
      </c>
      <c r="B15" s="41">
        <v>2009</v>
      </c>
      <c r="C15" s="46">
        <v>10684.02</v>
      </c>
    </row>
    <row r="16" spans="1:3" ht="15.75" x14ac:dyDescent="0.25">
      <c r="A16" s="41">
        <v>2009</v>
      </c>
      <c r="B16" s="41">
        <v>2010</v>
      </c>
      <c r="C16" s="46">
        <v>0</v>
      </c>
    </row>
    <row r="17" spans="1:27" ht="15.75" x14ac:dyDescent="0.25">
      <c r="A17" s="41">
        <v>2010</v>
      </c>
      <c r="B17" s="41">
        <v>2011</v>
      </c>
      <c r="C17" s="46">
        <v>2843</v>
      </c>
    </row>
    <row r="18" spans="1:27" ht="15.75" x14ac:dyDescent="0.25">
      <c r="A18" s="41">
        <v>2011</v>
      </c>
      <c r="B18" s="41">
        <v>2012</v>
      </c>
      <c r="C18" s="46">
        <v>1715.55</v>
      </c>
    </row>
    <row r="19" spans="1:27" ht="15.75" x14ac:dyDescent="0.25">
      <c r="A19" s="41">
        <v>2012</v>
      </c>
      <c r="B19" s="41">
        <v>2013</v>
      </c>
      <c r="C19" s="46">
        <v>914.48</v>
      </c>
    </row>
    <row r="20" spans="1:27" ht="15.75" x14ac:dyDescent="0.25">
      <c r="A20" s="41">
        <v>2013</v>
      </c>
      <c r="B20" s="41">
        <v>2014</v>
      </c>
      <c r="C20" s="46">
        <v>2258.61</v>
      </c>
    </row>
    <row r="22" spans="1:27" ht="15.75" x14ac:dyDescent="0.25">
      <c r="A22" s="41" t="s">
        <v>237</v>
      </c>
      <c r="B22" s="48">
        <v>51482.87</v>
      </c>
    </row>
    <row r="23" spans="1:27" ht="15.75" x14ac:dyDescent="0.25">
      <c r="A23" s="41"/>
      <c r="D23" s="41">
        <v>2013</v>
      </c>
      <c r="E23" s="41">
        <v>2014</v>
      </c>
      <c r="F23" s="41">
        <v>2015</v>
      </c>
      <c r="G23" s="41">
        <v>2016</v>
      </c>
      <c r="H23" s="41">
        <v>2017</v>
      </c>
      <c r="I23" s="41">
        <v>2018</v>
      </c>
      <c r="J23" s="41">
        <v>2019</v>
      </c>
      <c r="K23" s="41">
        <v>2020</v>
      </c>
      <c r="L23" s="41">
        <v>2021</v>
      </c>
      <c r="M23" s="41">
        <v>2022</v>
      </c>
      <c r="N23" s="41">
        <v>2023</v>
      </c>
      <c r="O23" s="41">
        <v>2024</v>
      </c>
      <c r="P23" s="41">
        <v>2025</v>
      </c>
      <c r="Q23" s="41">
        <v>2026</v>
      </c>
      <c r="R23" s="41">
        <v>2027</v>
      </c>
      <c r="S23" s="41">
        <v>2028</v>
      </c>
      <c r="T23" s="41">
        <v>2029</v>
      </c>
      <c r="U23" s="41">
        <v>2030</v>
      </c>
      <c r="V23" s="41">
        <v>2031</v>
      </c>
      <c r="W23" s="41">
        <v>2032</v>
      </c>
      <c r="X23" s="41">
        <v>2033</v>
      </c>
      <c r="Y23" s="41">
        <v>2034</v>
      </c>
      <c r="Z23" s="41" t="s">
        <v>217</v>
      </c>
      <c r="AA23" s="41" t="s">
        <v>238</v>
      </c>
    </row>
    <row r="24" spans="1:27" ht="15.75" x14ac:dyDescent="0.25">
      <c r="A24" s="41"/>
      <c r="D24" s="41">
        <v>2014</v>
      </c>
      <c r="E24" s="41">
        <v>2015</v>
      </c>
      <c r="F24" s="41">
        <v>2016</v>
      </c>
      <c r="G24" s="41">
        <v>2017</v>
      </c>
      <c r="H24" s="41">
        <v>2018</v>
      </c>
      <c r="I24" s="41">
        <v>2019</v>
      </c>
      <c r="J24" s="41">
        <v>2020</v>
      </c>
      <c r="K24" s="41">
        <v>2021</v>
      </c>
      <c r="L24" s="41">
        <v>2022</v>
      </c>
      <c r="M24" s="41">
        <v>2023</v>
      </c>
      <c r="N24" s="41">
        <v>2024</v>
      </c>
      <c r="O24" s="41">
        <v>2025</v>
      </c>
      <c r="P24" s="41">
        <v>2026</v>
      </c>
      <c r="Q24" s="41">
        <v>2027</v>
      </c>
      <c r="R24" s="41">
        <v>2028</v>
      </c>
      <c r="S24" s="41">
        <v>2029</v>
      </c>
      <c r="T24" s="41">
        <v>2030</v>
      </c>
      <c r="U24" s="41">
        <v>2031</v>
      </c>
      <c r="V24" s="41">
        <v>2032</v>
      </c>
      <c r="W24" s="41">
        <v>2033</v>
      </c>
      <c r="X24" s="41">
        <v>2034</v>
      </c>
      <c r="Y24" s="41">
        <v>2035</v>
      </c>
    </row>
    <row r="25" spans="1:27" ht="15.75" x14ac:dyDescent="0.25">
      <c r="A25" s="41"/>
    </row>
    <row r="26" spans="1:27" ht="15.75" x14ac:dyDescent="0.25">
      <c r="A26" s="41">
        <v>2013</v>
      </c>
      <c r="B26" s="41">
        <v>2014</v>
      </c>
      <c r="C26" s="46">
        <v>2258.61</v>
      </c>
      <c r="D26" s="46">
        <v>225.86</v>
      </c>
      <c r="E26" s="46">
        <v>451.72</v>
      </c>
      <c r="F26" s="46">
        <v>451.72</v>
      </c>
      <c r="G26" s="46">
        <v>451.72</v>
      </c>
      <c r="H26" s="46">
        <v>451.72</v>
      </c>
      <c r="I26" s="46">
        <v>225.86</v>
      </c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7">
        <v>2258.61</v>
      </c>
      <c r="AA26" s="46">
        <v>0</v>
      </c>
    </row>
    <row r="27" spans="1:27" ht="15.75" x14ac:dyDescent="0.25">
      <c r="A27" s="41">
        <v>2014</v>
      </c>
      <c r="B27" s="41">
        <v>2015</v>
      </c>
      <c r="C27" s="46">
        <v>686</v>
      </c>
      <c r="D27" s="49"/>
      <c r="E27" s="46">
        <v>68.599999999999994</v>
      </c>
      <c r="F27" s="46">
        <v>137.19999999999999</v>
      </c>
      <c r="G27" s="46">
        <v>137.19999999999999</v>
      </c>
      <c r="H27" s="46">
        <v>137.19999999999999</v>
      </c>
      <c r="I27" s="46">
        <v>137.19999999999999</v>
      </c>
      <c r="J27" s="46">
        <v>68.599999999999994</v>
      </c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7">
        <v>686</v>
      </c>
      <c r="AA27" s="46">
        <v>0</v>
      </c>
    </row>
    <row r="28" spans="1:27" ht="15.75" x14ac:dyDescent="0.25">
      <c r="A28" s="41">
        <v>2015</v>
      </c>
      <c r="B28" s="41">
        <v>2016</v>
      </c>
      <c r="C28" s="46">
        <v>4483.16</v>
      </c>
      <c r="D28" s="49"/>
      <c r="E28" s="49"/>
      <c r="F28" s="46">
        <v>448.32</v>
      </c>
      <c r="G28" s="46">
        <v>896.63</v>
      </c>
      <c r="H28" s="46">
        <v>896.63</v>
      </c>
      <c r="I28" s="46">
        <v>896.63</v>
      </c>
      <c r="J28" s="46">
        <v>896.63</v>
      </c>
      <c r="K28" s="46">
        <v>448.32</v>
      </c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7">
        <v>4483.16</v>
      </c>
      <c r="AA28" s="46">
        <v>0</v>
      </c>
    </row>
    <row r="29" spans="1:27" ht="15.75" x14ac:dyDescent="0.25">
      <c r="A29" s="41">
        <v>2016</v>
      </c>
      <c r="B29" s="41">
        <v>2017</v>
      </c>
      <c r="C29" s="46">
        <v>2072.77</v>
      </c>
      <c r="D29" s="49"/>
      <c r="E29" s="49"/>
      <c r="F29" s="49"/>
      <c r="G29" s="46">
        <v>207.28</v>
      </c>
      <c r="H29" s="46">
        <v>414.55</v>
      </c>
      <c r="I29" s="46">
        <v>414.55</v>
      </c>
      <c r="J29" s="46">
        <v>414.55</v>
      </c>
      <c r="K29" s="46">
        <v>414.55</v>
      </c>
      <c r="L29" s="46">
        <v>207.28</v>
      </c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7">
        <v>2072.77</v>
      </c>
      <c r="AA29" s="46">
        <v>0</v>
      </c>
    </row>
    <row r="30" spans="1:27" ht="15.75" x14ac:dyDescent="0.25">
      <c r="A30" s="41">
        <v>2017</v>
      </c>
      <c r="B30" s="41">
        <v>2018</v>
      </c>
      <c r="C30" s="46">
        <v>6547.07</v>
      </c>
      <c r="D30" s="49"/>
      <c r="E30" s="49"/>
      <c r="F30" s="49"/>
      <c r="G30" s="46">
        <v>207.28</v>
      </c>
      <c r="H30" s="46">
        <v>784.28</v>
      </c>
      <c r="I30" s="46">
        <v>1309.4100000000001</v>
      </c>
      <c r="J30" s="46">
        <v>1309.4100000000001</v>
      </c>
      <c r="K30" s="46">
        <v>1309.4100000000001</v>
      </c>
      <c r="L30" s="46">
        <v>1309.4100000000001</v>
      </c>
      <c r="M30" s="46">
        <v>784.28</v>
      </c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7">
        <v>6806.22</v>
      </c>
      <c r="AA30" s="46">
        <v>-259.14999999999998</v>
      </c>
    </row>
    <row r="31" spans="1:27" ht="15.75" x14ac:dyDescent="0.25">
      <c r="A31" s="41">
        <v>2018</v>
      </c>
      <c r="B31" s="41">
        <v>2019</v>
      </c>
      <c r="C31" s="46">
        <v>2810</v>
      </c>
      <c r="D31" s="49"/>
      <c r="E31" s="49"/>
      <c r="F31" s="49"/>
      <c r="G31" s="49"/>
      <c r="H31" s="49"/>
      <c r="I31" s="46">
        <v>107</v>
      </c>
      <c r="J31" s="46">
        <v>562</v>
      </c>
      <c r="K31" s="46">
        <v>562</v>
      </c>
      <c r="L31" s="46">
        <v>562</v>
      </c>
      <c r="M31" s="46">
        <v>562</v>
      </c>
      <c r="N31" s="46">
        <v>455</v>
      </c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7">
        <v>2810</v>
      </c>
      <c r="AA31" s="46">
        <v>0</v>
      </c>
    </row>
    <row r="32" spans="1:27" ht="15.75" x14ac:dyDescent="0.25">
      <c r="A32" s="41">
        <v>2019</v>
      </c>
      <c r="B32" s="41">
        <v>2020</v>
      </c>
      <c r="C32" s="46">
        <v>0</v>
      </c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AA32" s="49"/>
    </row>
    <row r="33" spans="1:27" ht="15.75" x14ac:dyDescent="0.25">
      <c r="A33" s="41">
        <v>2020</v>
      </c>
      <c r="B33" s="41">
        <v>2021</v>
      </c>
      <c r="C33" s="46">
        <v>0</v>
      </c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AA33" s="49"/>
    </row>
    <row r="34" spans="1:27" ht="15.75" x14ac:dyDescent="0.25">
      <c r="A34" s="41">
        <v>2021</v>
      </c>
      <c r="B34" s="45">
        <v>2022</v>
      </c>
      <c r="C34" s="46">
        <v>0</v>
      </c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AA34" s="49"/>
    </row>
    <row r="35" spans="1:27" ht="15.75" x14ac:dyDescent="0.25">
      <c r="A35" s="41">
        <v>2022</v>
      </c>
      <c r="B35" s="41">
        <v>2023</v>
      </c>
      <c r="C35" s="46">
        <v>2820</v>
      </c>
      <c r="D35" s="46"/>
      <c r="E35" s="46"/>
      <c r="F35" s="46"/>
      <c r="G35" s="46"/>
      <c r="H35" s="46"/>
      <c r="I35" s="46"/>
      <c r="J35" s="46"/>
      <c r="K35" s="46"/>
      <c r="L35" s="46"/>
      <c r="M35" s="46">
        <f>0.2*C35</f>
        <v>564</v>
      </c>
      <c r="N35" s="46">
        <f>0.2*C35</f>
        <v>564</v>
      </c>
      <c r="O35" s="46">
        <f>0.2*C35</f>
        <v>564</v>
      </c>
      <c r="P35" s="46">
        <f>0.2*C35</f>
        <v>564</v>
      </c>
      <c r="Q35" s="46">
        <f>0.2*C35</f>
        <v>564</v>
      </c>
      <c r="R35" s="46"/>
      <c r="S35" s="46"/>
      <c r="T35" s="46"/>
      <c r="U35" s="46"/>
      <c r="V35" s="46"/>
      <c r="W35" s="46"/>
      <c r="X35" s="46"/>
      <c r="Y35" s="46"/>
      <c r="Z35" s="49">
        <f>SUM(D35:R35)</f>
        <v>2820</v>
      </c>
      <c r="AA35" s="49">
        <v>0</v>
      </c>
    </row>
    <row r="36" spans="1:27" ht="15.75" x14ac:dyDescent="0.25">
      <c r="A36" s="41">
        <v>2023</v>
      </c>
      <c r="B36" s="41">
        <v>2024</v>
      </c>
      <c r="C36" s="46">
        <v>13728.93</v>
      </c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>
        <v>2745.79</v>
      </c>
      <c r="O36" s="46">
        <v>2745.78</v>
      </c>
      <c r="P36" s="46">
        <v>2745.78</v>
      </c>
      <c r="Q36" s="46">
        <v>2748.79</v>
      </c>
      <c r="R36" s="46">
        <v>2749.79</v>
      </c>
      <c r="S36" s="46"/>
      <c r="T36" s="46"/>
      <c r="U36" s="46"/>
      <c r="V36" s="46"/>
      <c r="W36" s="46"/>
      <c r="X36" s="46"/>
      <c r="Y36" s="46"/>
      <c r="Z36" s="49">
        <f>SUM(D36:R36)</f>
        <v>13735.93</v>
      </c>
      <c r="AA36" s="49">
        <v>0</v>
      </c>
    </row>
    <row r="37" spans="1:27" ht="15.75" x14ac:dyDescent="0.25">
      <c r="A37" s="41">
        <v>2024</v>
      </c>
      <c r="B37" s="41">
        <v>2025</v>
      </c>
      <c r="C37" s="46">
        <f>SUM(O37:Y37)</f>
        <v>16919</v>
      </c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>
        <f>408+42+28+167+67+142</f>
        <v>854</v>
      </c>
      <c r="P37" s="46">
        <f>496+60+40+200+120+1248</f>
        <v>2164</v>
      </c>
      <c r="Q37" s="46">
        <f>496+18+12+200+120+1248</f>
        <v>2094</v>
      </c>
      <c r="R37" s="46">
        <f>496+200+200+1248</f>
        <v>2144</v>
      </c>
      <c r="S37" s="46">
        <f>496+200+200+1248</f>
        <v>2144</v>
      </c>
      <c r="T37" s="46">
        <f>88+33+53+1248</f>
        <v>1422</v>
      </c>
      <c r="U37" s="46">
        <v>1248</v>
      </c>
      <c r="V37" s="46">
        <v>1248</v>
      </c>
      <c r="W37" s="46">
        <v>1248</v>
      </c>
      <c r="X37" s="46">
        <v>1248</v>
      </c>
      <c r="Y37" s="46">
        <v>1105</v>
      </c>
      <c r="Z37" s="49">
        <f>SUM(O37:Y37)</f>
        <v>16919</v>
      </c>
      <c r="AA37" s="49"/>
    </row>
    <row r="38" spans="1:27" ht="15.75" x14ac:dyDescent="0.25">
      <c r="A38" s="41" t="s">
        <v>239</v>
      </c>
      <c r="C38" s="48">
        <f>SUM(C26:C36)</f>
        <v>35406.54</v>
      </c>
      <c r="Z38" s="48">
        <f>SUM(Z26:Z37)</f>
        <v>52591.69</v>
      </c>
      <c r="AA38" s="48">
        <f>SUM(AA26:AA37)</f>
        <v>-259.14999999999998</v>
      </c>
    </row>
    <row r="39" spans="1:27" ht="15.75" x14ac:dyDescent="0.25">
      <c r="A39" s="41"/>
      <c r="Z39" s="49"/>
    </row>
    <row r="40" spans="1:27" ht="15.75" x14ac:dyDescent="0.25">
      <c r="A40" s="41" t="s">
        <v>239</v>
      </c>
      <c r="B40" s="48">
        <v>225.86</v>
      </c>
      <c r="C40" s="48">
        <v>520.32000000000005</v>
      </c>
      <c r="D40" s="48">
        <v>1037.24</v>
      </c>
      <c r="E40" s="48">
        <v>1900.11</v>
      </c>
      <c r="F40" s="48">
        <v>2684.39</v>
      </c>
      <c r="G40" s="48">
        <v>3090.66</v>
      </c>
      <c r="H40" s="48">
        <v>3251.2</v>
      </c>
      <c r="I40" s="48">
        <v>2734.28</v>
      </c>
      <c r="J40" s="48">
        <v>2078.69</v>
      </c>
      <c r="K40" s="74">
        <f>SUM(K28:K39)</f>
        <v>2734.28</v>
      </c>
      <c r="L40" s="74">
        <f t="shared" ref="L40:Y40" si="0">SUM(L28:L39)</f>
        <v>2078.69</v>
      </c>
      <c r="M40" s="74">
        <f t="shared" si="0"/>
        <v>1910.28</v>
      </c>
      <c r="N40" s="74">
        <f t="shared" si="0"/>
        <v>3764.79</v>
      </c>
      <c r="O40" s="74">
        <f t="shared" si="0"/>
        <v>4163.7800000000007</v>
      </c>
      <c r="P40" s="74">
        <f t="shared" si="0"/>
        <v>5473.7800000000007</v>
      </c>
      <c r="Q40" s="74">
        <f t="shared" si="0"/>
        <v>5406.79</v>
      </c>
      <c r="R40" s="74">
        <f t="shared" si="0"/>
        <v>4893.79</v>
      </c>
      <c r="S40" s="74">
        <f t="shared" si="0"/>
        <v>2144</v>
      </c>
      <c r="T40" s="74">
        <f t="shared" si="0"/>
        <v>1422</v>
      </c>
      <c r="U40" s="74">
        <f t="shared" si="0"/>
        <v>1248</v>
      </c>
      <c r="V40" s="74">
        <f t="shared" si="0"/>
        <v>1248</v>
      </c>
      <c r="W40" s="74">
        <f t="shared" si="0"/>
        <v>1248</v>
      </c>
      <c r="X40" s="74">
        <f t="shared" si="0"/>
        <v>1248</v>
      </c>
      <c r="Y40" s="74">
        <f t="shared" si="0"/>
        <v>1105</v>
      </c>
    </row>
    <row r="41" spans="1:27" ht="15.75" x14ac:dyDescent="0.25">
      <c r="A41" s="41"/>
    </row>
    <row r="42" spans="1:27" ht="15.75" x14ac:dyDescent="0.25">
      <c r="A42" s="41" t="s">
        <v>241</v>
      </c>
      <c r="C42" s="48">
        <f>SUM(B22:C38)</f>
        <v>163448.95000000001</v>
      </c>
      <c r="G42" s="41"/>
    </row>
    <row r="43" spans="1:27" ht="15.75" x14ac:dyDescent="0.25">
      <c r="A43" s="41"/>
      <c r="G43" s="41"/>
    </row>
    <row r="47" spans="1:27" ht="15.75" x14ac:dyDescent="0.25">
      <c r="A47" s="41" t="s">
        <v>242</v>
      </c>
    </row>
    <row r="49" spans="1:27" ht="15.75" x14ac:dyDescent="0.25">
      <c r="A49" s="41">
        <v>2014</v>
      </c>
      <c r="B49" s="41">
        <v>2015</v>
      </c>
      <c r="C49" s="11">
        <v>250</v>
      </c>
      <c r="F49" s="11">
        <v>25</v>
      </c>
      <c r="G49" s="11">
        <v>50</v>
      </c>
      <c r="H49" s="11">
        <v>50</v>
      </c>
      <c r="I49" s="11">
        <v>50</v>
      </c>
      <c r="J49" s="11">
        <v>50</v>
      </c>
      <c r="K49" s="11">
        <v>25</v>
      </c>
      <c r="Z49" s="11">
        <v>250</v>
      </c>
      <c r="AA49" s="11" t="s">
        <v>209</v>
      </c>
    </row>
    <row r="50" spans="1:27" ht="15.75" x14ac:dyDescent="0.25">
      <c r="A50" s="41">
        <v>2015</v>
      </c>
      <c r="B50" s="41">
        <v>2016</v>
      </c>
      <c r="C50" t="s">
        <v>209</v>
      </c>
    </row>
    <row r="51" spans="1:27" ht="15.75" x14ac:dyDescent="0.25">
      <c r="A51" s="41">
        <v>2016</v>
      </c>
      <c r="B51" s="41">
        <v>2017</v>
      </c>
      <c r="C51" s="11">
        <v>275</v>
      </c>
      <c r="H51" s="11">
        <v>27.5</v>
      </c>
      <c r="I51" s="11">
        <v>55</v>
      </c>
      <c r="J51" s="11">
        <v>55</v>
      </c>
      <c r="K51" s="11">
        <v>55</v>
      </c>
      <c r="L51" s="11">
        <v>55</v>
      </c>
      <c r="M51" s="11">
        <v>27.5</v>
      </c>
      <c r="Z51" s="11">
        <v>275</v>
      </c>
    </row>
    <row r="52" spans="1:27" ht="15.75" x14ac:dyDescent="0.25">
      <c r="A52" s="41">
        <v>2020</v>
      </c>
      <c r="B52" s="41">
        <v>2021</v>
      </c>
      <c r="C52" s="11" t="s">
        <v>243</v>
      </c>
      <c r="K52" s="11" t="s">
        <v>244</v>
      </c>
      <c r="L52" s="11" t="s">
        <v>245</v>
      </c>
      <c r="M52" s="11" t="s">
        <v>246</v>
      </c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 t="s">
        <v>243</v>
      </c>
      <c r="AA52" s="11" t="s">
        <v>247</v>
      </c>
    </row>
    <row r="54" spans="1:27" ht="15.75" x14ac:dyDescent="0.25">
      <c r="A54" s="41" t="s">
        <v>239</v>
      </c>
      <c r="C54" s="41" t="s">
        <v>248</v>
      </c>
    </row>
    <row r="55" spans="1:27" ht="15.75" x14ac:dyDescent="0.25">
      <c r="A55" s="41"/>
    </row>
    <row r="56" spans="1:27" ht="15.75" x14ac:dyDescent="0.25">
      <c r="A56" s="41" t="s">
        <v>240</v>
      </c>
      <c r="D56" s="41">
        <v>25</v>
      </c>
      <c r="E56" s="41">
        <v>50</v>
      </c>
      <c r="F56" s="11" t="s">
        <v>209</v>
      </c>
      <c r="G56" s="44">
        <v>105</v>
      </c>
      <c r="H56" s="44">
        <v>105</v>
      </c>
      <c r="I56" s="41" t="s">
        <v>249</v>
      </c>
      <c r="J56" s="41" t="s">
        <v>250</v>
      </c>
      <c r="K56" s="41" t="s">
        <v>251</v>
      </c>
    </row>
    <row r="57" spans="1:27" ht="15.75" x14ac:dyDescent="0.25">
      <c r="A57" s="41"/>
      <c r="B57" s="41"/>
    </row>
    <row r="60" spans="1:27" ht="15.75" x14ac:dyDescent="0.25">
      <c r="A60" s="41" t="s">
        <v>217</v>
      </c>
      <c r="B60" s="41" t="s">
        <v>252</v>
      </c>
    </row>
    <row r="70" spans="2:2" ht="15.75" x14ac:dyDescent="0.25">
      <c r="B70" s="11" t="s">
        <v>253</v>
      </c>
    </row>
    <row r="71" spans="2:2" ht="15.75" x14ac:dyDescent="0.25">
      <c r="B71" s="11" t="s">
        <v>254</v>
      </c>
    </row>
    <row r="72" spans="2:2" ht="15.75" x14ac:dyDescent="0.25">
      <c r="B72" s="11" t="s">
        <v>255</v>
      </c>
    </row>
    <row r="73" spans="2:2" ht="15.75" x14ac:dyDescent="0.25">
      <c r="B73" s="11" t="s">
        <v>256</v>
      </c>
    </row>
    <row r="74" spans="2:2" ht="15.75" x14ac:dyDescent="0.25">
      <c r="B74" s="11" t="s">
        <v>257</v>
      </c>
    </row>
    <row r="76" spans="2:2" ht="15.75" x14ac:dyDescent="0.25">
      <c r="B76" s="11" t="s">
        <v>258</v>
      </c>
    </row>
  </sheetData>
  <pageMargins left="0.7" right="0.7" top="0.75" bottom="0.75" header="0.3" footer="0.3"/>
  <pageSetup orientation="portrait" horizontalDpi="0" verticalDpi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4"/>
  <sheetViews>
    <sheetView workbookViewId="0">
      <selection activeCell="G17" sqref="G17"/>
    </sheetView>
  </sheetViews>
  <sheetFormatPr baseColWidth="10" defaultRowHeight="15" x14ac:dyDescent="0.25"/>
  <cols>
    <col min="7" max="7" width="19.42578125" customWidth="1"/>
  </cols>
  <sheetData>
    <row r="1" spans="1:7" ht="15.75" x14ac:dyDescent="0.25">
      <c r="A1" s="26" t="s">
        <v>0</v>
      </c>
    </row>
    <row r="2" spans="1:7" ht="15.75" x14ac:dyDescent="0.25">
      <c r="A2" s="26" t="s">
        <v>224</v>
      </c>
    </row>
    <row r="3" spans="1:7" ht="15.75" x14ac:dyDescent="0.25">
      <c r="A3" s="26" t="s">
        <v>270</v>
      </c>
    </row>
    <row r="6" spans="1:7" ht="15.75" x14ac:dyDescent="0.25">
      <c r="C6" s="26" t="s">
        <v>225</v>
      </c>
      <c r="D6" s="26" t="s">
        <v>226</v>
      </c>
      <c r="E6" s="26"/>
      <c r="F6" s="26"/>
    </row>
    <row r="8" spans="1:7" ht="15.75" x14ac:dyDescent="0.25">
      <c r="A8" t="s">
        <v>327</v>
      </c>
      <c r="B8" s="11" t="s">
        <v>328</v>
      </c>
      <c r="G8" s="84">
        <v>0</v>
      </c>
    </row>
    <row r="10" spans="1:7" ht="15.75" x14ac:dyDescent="0.25">
      <c r="A10" t="s">
        <v>229</v>
      </c>
      <c r="B10" s="11" t="s">
        <v>275</v>
      </c>
      <c r="G10" s="40">
        <v>2113.1999999999998</v>
      </c>
    </row>
    <row r="12" spans="1:7" ht="15.75" x14ac:dyDescent="0.25">
      <c r="A12" s="26" t="s">
        <v>227</v>
      </c>
      <c r="B12" s="11" t="s">
        <v>230</v>
      </c>
      <c r="G12" s="40">
        <f>G14-45</f>
        <v>1680.5</v>
      </c>
    </row>
    <row r="14" spans="1:7" ht="15.75" x14ac:dyDescent="0.25">
      <c r="A14" t="s">
        <v>229</v>
      </c>
      <c r="B14" s="26" t="s">
        <v>228</v>
      </c>
      <c r="C14" s="11"/>
      <c r="G14" s="40">
        <v>1725.5</v>
      </c>
    </row>
  </sheetData>
  <pageMargins left="0.7" right="0.7" top="0.75" bottom="0.75" header="0.3" footer="0.3"/>
  <pageSetup orientation="portrait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FA22FEAA163A842BD69E534171FA397" ma:contentTypeVersion="20" ma:contentTypeDescription="Crée un document." ma:contentTypeScope="" ma:versionID="37972eeb5756ca71a1adee39aeb3b9c3">
  <xsd:schema xmlns:xsd="http://www.w3.org/2001/XMLSchema" xmlns:xs="http://www.w3.org/2001/XMLSchema" xmlns:p="http://schemas.microsoft.com/office/2006/metadata/properties" xmlns:ns1="http://schemas.microsoft.com/sharepoint/v3" xmlns:ns3="efa98b3d-ef70-4962-945f-69e049139424" xmlns:ns4="f4efa821-4354-432c-9b29-066928788daf" targetNamespace="http://schemas.microsoft.com/office/2006/metadata/properties" ma:root="true" ma:fieldsID="b7aeb21705402a96b8151cf4e048e49c" ns1:_="" ns3:_="" ns4:_="">
    <xsd:import namespace="http://schemas.microsoft.com/sharepoint/v3"/>
    <xsd:import namespace="efa98b3d-ef70-4962-945f-69e049139424"/>
    <xsd:import namespace="f4efa821-4354-432c-9b29-066928788daf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OCR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1:_ip_UnifiedCompliancePolicyProperties" minOccurs="0"/>
                <xsd:element ref="ns1:_ip_UnifiedCompliancePolicyUIAction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2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a98b3d-ef70-4962-945f-69e04913942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description="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efa821-4354-432c-9b29-066928788d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4" nillable="true" ma:displayName="_activity" ma:hidden="true" ma:internalName="_activity">
      <xsd:simpleType>
        <xsd:restriction base="dms:Note"/>
      </xsd:simpleType>
    </xsd:element>
    <xsd:element name="MediaServiceObjectDetectorVersions" ma:index="2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f4efa821-4354-432c-9b29-066928788da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2CBC28C-FE1B-4ECA-8FD2-1AD8469047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fa98b3d-ef70-4962-945f-69e049139424"/>
    <ds:schemaRef ds:uri="f4efa821-4354-432c-9b29-066928788d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88E5C08-FBEE-471B-BB03-CE07D430FD28}">
  <ds:schemaRefs>
    <ds:schemaRef ds:uri="http://www.w3.org/XML/1998/namespace"/>
    <ds:schemaRef ds:uri="http://purl.org/dc/terms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f4efa821-4354-432c-9b29-066928788daf"/>
    <ds:schemaRef ds:uri="efa98b3d-ef70-4962-945f-69e049139424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1B0C3FF1-CCC2-4C3A-A3EE-0ED0A349F59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Sheet1</vt:lpstr>
      <vt:lpstr>Index - directeurs</vt:lpstr>
      <vt:lpstr>Index - membres</vt:lpstr>
      <vt:lpstr>Notes</vt:lpstr>
      <vt:lpstr>Produits et charges</vt:lpstr>
      <vt:lpstr>Frais d'administration</vt:lpstr>
      <vt:lpstr>Cours et expositions</vt:lpstr>
      <vt:lpstr>Concours CKC</vt:lpstr>
      <vt:lpstr>Concours AAC</vt:lpstr>
      <vt:lpstr>Provincial AAC 2024</vt:lpstr>
      <vt:lpstr>Sprinter CKC</vt:lpstr>
      <vt:lpstr>Immobilisation</vt:lpstr>
      <vt:lpstr>Inventaire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CCC</dc:creator>
  <cp:lastModifiedBy>Jean Godin</cp:lastModifiedBy>
  <cp:lastPrinted>2023-04-19T00:02:22Z</cp:lastPrinted>
  <dcterms:created xsi:type="dcterms:W3CDTF">2023-03-28T17:47:51Z</dcterms:created>
  <dcterms:modified xsi:type="dcterms:W3CDTF">2025-04-04T01:27:51Z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0x010100EFA22FEAA163A842BD69E534171FA397</vt:lpwstr>
  </property>
</Properties>
</file>